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ORIGINAL\Tax_Guide\Tax_guide_d\"/>
    </mc:Choice>
  </mc:AlternateContent>
  <xr:revisionPtr revIDLastSave="0" documentId="13_ncr:1_{9DA8C9B2-E8CC-4C09-9631-2F8FFBDACA5A}" xr6:coauthVersionLast="47" xr6:coauthVersionMax="47" xr10:uidLastSave="{00000000-0000-0000-0000-000000000000}"/>
  <workbookProtection workbookAlgorithmName="SHA-512" workbookHashValue="M8wiKuzAojJXT/XAXUQ4TlEQJow+rctRpACgwORtWZKHh8Wkv5IQO9h8Tq8Ul8LOWn6mZWd0G629Z5VE3rkBCw==" workbookSaltValue="8UcqjZhhjHkqtkXo6lZJ5g==" workbookSpinCount="100000" lockStructure="1"/>
  <bookViews>
    <workbookView xWindow="-57720" yWindow="45" windowWidth="29040" windowHeight="16440" firstSheet="1" activeTab="1" xr2:uid="{00000000-000D-0000-FFFF-FFFF00000000}"/>
  </bookViews>
  <sheets>
    <sheet name="Formules" sheetId="3" state="hidden" r:id="rId1"/>
    <sheet name="Données" sheetId="4" r:id="rId2"/>
    <sheet name="Détermination" sheetId="7" r:id="rId3"/>
    <sheet name="intéret capital propre " sheetId="8" state="hidden" r:id="rId4"/>
    <sheet name="1.1.2012" sheetId="1" state="hidden" r:id="rId5"/>
  </sheets>
  <definedNames>
    <definedName name="_xlnm.Print_Area" localSheetId="2">Détermination!$A$1:$J$51</definedName>
    <definedName name="_xlnm.Print_Area" localSheetId="1">Données!$A$1:$H$54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C41" i="7" l="1"/>
  <c r="F40" i="4" l="1"/>
  <c r="F41" i="4" s="1"/>
  <c r="H7" i="7"/>
  <c r="H8" i="7"/>
  <c r="G47" i="7" l="1"/>
  <c r="G46" i="7"/>
  <c r="G22" i="7"/>
  <c r="D47" i="7" s="1"/>
  <c r="G20" i="7"/>
  <c r="D46" i="7" s="1"/>
  <c r="E20" i="7"/>
  <c r="E22" i="7"/>
  <c r="H10" i="7"/>
  <c r="I40" i="7"/>
  <c r="I38" i="7"/>
  <c r="G48" i="7" l="1"/>
  <c r="D48" i="7"/>
  <c r="G16" i="7" l="1"/>
  <c r="G14" i="7"/>
  <c r="F27" i="4"/>
  <c r="F46" i="4" s="1"/>
  <c r="F47" i="4" s="1"/>
  <c r="E21" i="7" l="1"/>
  <c r="H9" i="7"/>
  <c r="H22" i="7"/>
  <c r="H20" i="7"/>
  <c r="E20" i="1"/>
  <c r="L36" i="1"/>
  <c r="G32" i="1"/>
  <c r="D58" i="1" s="1"/>
  <c r="L35" i="1"/>
  <c r="G30" i="1" s="1"/>
  <c r="L31" i="1"/>
  <c r="G27" i="1" s="1"/>
  <c r="L30" i="1"/>
  <c r="G25" i="1" s="1"/>
  <c r="E18" i="1"/>
  <c r="E17" i="1"/>
  <c r="F58" i="1"/>
  <c r="F57" i="1"/>
  <c r="F59" i="1" s="1"/>
  <c r="K18" i="1"/>
  <c r="G19" i="1" s="1"/>
  <c r="K25" i="1"/>
  <c r="E31" i="1" s="1"/>
  <c r="K43" i="1" s="1"/>
  <c r="K44" i="1" s="1"/>
  <c r="E19" i="1" s="1"/>
  <c r="E30" i="1"/>
  <c r="E32" i="1" s="1"/>
  <c r="K38" i="1"/>
  <c r="K39" i="1"/>
  <c r="H6" i="1"/>
  <c r="H23" i="7" l="1"/>
  <c r="H32" i="1"/>
  <c r="D57" i="1"/>
  <c r="D59" i="1" s="1"/>
  <c r="H30" i="1"/>
  <c r="E21" i="1"/>
  <c r="E25" i="1" s="1"/>
  <c r="H33" i="1" l="1"/>
  <c r="E27" i="1"/>
  <c r="E26" i="1" s="1"/>
  <c r="E24" i="1"/>
  <c r="H25" i="1"/>
  <c r="H27" i="1" l="1"/>
  <c r="H28" i="1" s="1"/>
  <c r="H35" i="1" s="1"/>
  <c r="B36" i="1" s="1"/>
  <c r="H42" i="1" s="1"/>
  <c r="E47" i="1" l="1"/>
  <c r="H37" i="1"/>
  <c r="H39" i="1" s="1"/>
  <c r="H43" i="1" l="1"/>
  <c r="H44" i="1" s="1"/>
  <c r="E49" i="1" s="1"/>
  <c r="H51" i="1" s="1"/>
  <c r="E55" i="1" s="1"/>
  <c r="A39" i="1"/>
  <c r="A51" i="1" l="1"/>
  <c r="E58" i="1"/>
  <c r="H58" i="1" s="1"/>
  <c r="E57" i="1"/>
  <c r="E59" i="1" l="1"/>
  <c r="H57" i="1"/>
  <c r="H59" i="1" s="1"/>
  <c r="H11" i="7"/>
  <c r="E16" i="7" s="1"/>
  <c r="C15" i="7" s="1"/>
  <c r="H16" i="7" l="1"/>
  <c r="E14" i="7"/>
  <c r="C13" i="7" s="1"/>
  <c r="H14" i="7" l="1"/>
  <c r="H17" i="7" s="1"/>
  <c r="H25" i="7" s="1"/>
  <c r="C26" i="7" s="1"/>
  <c r="E26" i="7" l="1"/>
  <c r="H32" i="7" s="1"/>
  <c r="H27" i="7" l="1"/>
  <c r="H29" i="7" s="1"/>
  <c r="E38" i="7"/>
  <c r="H33" i="7" l="1"/>
  <c r="H34" i="7" s="1"/>
  <c r="E39" i="7" s="1"/>
  <c r="G41" i="7" s="1"/>
  <c r="E47" i="7" l="1"/>
  <c r="E46" i="7"/>
  <c r="H46" i="7" s="1"/>
  <c r="I49" i="7" l="1"/>
  <c r="H47" i="7"/>
  <c r="H48" i="7" s="1"/>
  <c r="I48" i="7"/>
  <c r="E48" i="7"/>
  <c r="I50" i="7" l="1"/>
</calcChain>
</file>

<file path=xl/sharedStrings.xml><?xml version="1.0" encoding="utf-8"?>
<sst xmlns="http://schemas.openxmlformats.org/spreadsheetml/2006/main" count="174" uniqueCount="153">
  <si>
    <t>Assujettissement illimité</t>
  </si>
  <si>
    <t>Impôts cantonaux et communaux sur la fortune + impôts cantonaux et communaux</t>
  </si>
  <si>
    <t>Conditions requises</t>
  </si>
  <si>
    <t>Total</t>
  </si>
  <si>
    <t>Détermination du caractère confiscatoire</t>
  </si>
  <si>
    <t>Impôt sur la fortune (canton)</t>
  </si>
  <si>
    <t>Impôt sur la fortune (commune)</t>
  </si>
  <si>
    <t>Total charges fiscales soumise au calcul</t>
  </si>
  <si>
    <t>x</t>
  </si>
  <si>
    <t>Impôt sur la fortune</t>
  </si>
  <si>
    <t>./. réduction de l'excédent</t>
  </si>
  <si>
    <t>Solde de l'impôt sur la fortune</t>
  </si>
  <si>
    <t>Contrôle</t>
  </si>
  <si>
    <t>Une imposition minimale de la moitié de l'impôt sur la fortune doit subsister</t>
  </si>
  <si>
    <t>La moitié de l'impôt sur la fortune représente</t>
  </si>
  <si>
    <t>L'impôt sur la fortune après réduction  =</t>
  </si>
  <si>
    <t>Répartition de la réduction</t>
  </si>
  <si>
    <t>Montant de la réduction de l'impôt sur la fortune</t>
  </si>
  <si>
    <t>Part réduction (commune)</t>
  </si>
  <si>
    <t>Part réduction (canton)</t>
  </si>
  <si>
    <t>Nom, prénom, domicile</t>
  </si>
  <si>
    <t>Immeubles en Valais</t>
  </si>
  <si>
    <t>taux</t>
  </si>
  <si>
    <t>bordereau</t>
  </si>
  <si>
    <t>Rendement du capital propre investi</t>
  </si>
  <si>
    <t>= taux rendement</t>
  </si>
  <si>
    <t>capital propre investi</t>
  </si>
  <si>
    <t>Immeubles commerciaux</t>
  </si>
  <si>
    <t>Matériel d'exploitation</t>
  </si>
  <si>
    <t>Autres</t>
  </si>
  <si>
    <t>./. Dettes commerciales</t>
  </si>
  <si>
    <t>Fortune commerciale nette</t>
  </si>
  <si>
    <t xml:space="preserve">- dont fortune commerciale </t>
  </si>
  <si>
    <t>Rendements de la fortune</t>
  </si>
  <si>
    <t>./. 50% du rendement de la fortune</t>
  </si>
  <si>
    <t>Année fiscale</t>
  </si>
  <si>
    <t>Remplir uniquement les cellules en couleur jaune</t>
  </si>
  <si>
    <r>
      <t xml:space="preserve">a </t>
    </r>
    <r>
      <rPr>
        <b/>
        <sz val="9"/>
        <rFont val="Arial"/>
        <family val="2"/>
      </rPr>
      <t xml:space="preserve">Les revenus d'immeubles doivent être indiqués après déduction 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</si>
  <si>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d'immeubles est négatif, il faut le mentionner à 0.--</t>
    </r>
  </si>
  <si>
    <t>Impôt cantonal sur la fortune selon TAO</t>
  </si>
  <si>
    <t>Impôt communal sur la fortune selon TAO</t>
  </si>
  <si>
    <r>
      <t xml:space="preserve">a </t>
    </r>
    <r>
      <rPr>
        <b/>
        <sz val="9"/>
        <rFont val="Arial"/>
        <family val="2"/>
      </rPr>
      <t xml:space="preserve">L'impôt cantonal doit être mentionné </t>
    </r>
    <r>
      <rPr>
        <b/>
        <u/>
        <sz val="9"/>
        <rFont val="Arial"/>
        <family val="2"/>
      </rPr>
      <t>après</t>
    </r>
    <r>
      <rPr>
        <b/>
        <sz val="9"/>
        <rFont val="Arial"/>
        <family val="2"/>
      </rPr>
      <t xml:space="preserve"> déduction de l'abattement pour couple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</si>
  <si>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 xml:space="preserve">L'impôt communal doit être mentionné </t>
    </r>
    <r>
      <rPr>
        <b/>
        <u/>
        <sz val="9"/>
        <rFont val="Arial"/>
        <family val="2"/>
      </rPr>
      <t>après</t>
    </r>
    <r>
      <rPr>
        <b/>
        <sz val="9"/>
        <rFont val="Arial"/>
        <family val="2"/>
      </rPr>
      <t xml:space="preserve"> déduction de l'abattement pour couple</t>
    </r>
  </si>
  <si>
    <r>
      <t xml:space="preserve">Revenu d'immeubles </t>
    </r>
    <r>
      <rPr>
        <u/>
        <sz val="9"/>
        <rFont val="Arial"/>
        <family val="2"/>
      </rPr>
      <t xml:space="preserve">nets 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 !)</t>
    </r>
  </si>
  <si>
    <t>Revenu imposable canton/commune (par cent francs)</t>
  </si>
  <si>
    <t xml:space="preserve">        des frais d'administration des titres (effectifs ou forfait)</t>
  </si>
  <si>
    <t xml:space="preserve">        des frais d'entretien d'immeubles (effectifs ou forfait)</t>
  </si>
  <si>
    <r>
      <t>a</t>
    </r>
    <r>
      <rPr>
        <b/>
        <sz val="8.1"/>
        <rFont val="Arial"/>
        <family val="2"/>
      </rPr>
      <t xml:space="preserve">    </t>
    </r>
    <r>
      <rPr>
        <b/>
        <sz val="9"/>
        <rFont val="Arial"/>
        <family val="2"/>
      </rPr>
      <t>Ne remplir que les cellules en jaune</t>
    </r>
  </si>
  <si>
    <r>
      <t xml:space="preserve">a </t>
    </r>
    <r>
      <rPr>
        <b/>
        <sz val="9"/>
        <rFont val="Arial"/>
        <family val="2"/>
      </rPr>
      <t xml:space="preserve">Les revenus des titres doivent être indiqués après déduction 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</si>
  <si>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des titres est négatif, il faut le mentionner à 0.--</t>
    </r>
  </si>
  <si>
    <r>
      <t xml:space="preserve">Détermination de la fortune commerciale </t>
    </r>
    <r>
      <rPr>
        <b/>
        <u/>
        <sz val="8"/>
        <color indexed="10"/>
        <rFont val="Arial"/>
        <family val="2"/>
      </rPr>
      <t>(uniquement si fortune commerciale)</t>
    </r>
  </si>
  <si>
    <t>Directives d'application :</t>
  </si>
  <si>
    <t>sur le rendement net de la fortune excèdent le 50% du rendement de la fortune</t>
  </si>
  <si>
    <t>N°</t>
  </si>
  <si>
    <t>Sion, le</t>
  </si>
  <si>
    <t>Calcul du 20 % du revenu imposable</t>
  </si>
  <si>
    <t>le 20 % représente :</t>
  </si>
  <si>
    <t>Calcul de l'intérêt du capital propre</t>
  </si>
  <si>
    <t>Rendement du capital propre investi à retenir</t>
  </si>
  <si>
    <r>
      <t xml:space="preserve">Fixation du caractère confiscatoire de l'impôt sur la fortune </t>
    </r>
    <r>
      <rPr>
        <b/>
        <sz val="11"/>
        <rFont val="Arial"/>
        <family val="2"/>
      </rPr>
      <t>(dès 2012)</t>
    </r>
  </si>
  <si>
    <t>Remarque : l'ICPI ne peut pas être supérieur au revenu indépendant</t>
  </si>
  <si>
    <t>Année</t>
  </si>
  <si>
    <t>Taux du capital investi de l'année</t>
  </si>
  <si>
    <t>Taux AVS</t>
  </si>
  <si>
    <r>
      <t xml:space="preserve">Titres </t>
    </r>
    <r>
      <rPr>
        <sz val="7"/>
        <rFont val="Arial"/>
        <family val="2"/>
      </rPr>
      <t>(avant allègement de la double imposition)</t>
    </r>
  </si>
  <si>
    <t>Allègement de la double imposition (indiquer le 40%)</t>
  </si>
  <si>
    <r>
      <t>Revenu des titres (PP à 60%)</t>
    </r>
    <r>
      <rPr>
        <b/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 !)</t>
    </r>
  </si>
  <si>
    <t>(Calcul sans garantie. Seule la décision de taxation fait foi!)</t>
  </si>
  <si>
    <t>Rendement des successions</t>
  </si>
  <si>
    <t>./. Franchise</t>
  </si>
  <si>
    <t>Franchise Canton</t>
  </si>
  <si>
    <t>Franchise commune</t>
  </si>
  <si>
    <r>
      <t>Revenu indépendant  après déduction de l'AVS</t>
    </r>
    <r>
      <rPr>
        <b/>
        <sz val="9"/>
        <color indexed="10"/>
        <rFont val="Arial"/>
        <family val="2"/>
      </rPr>
      <t>*</t>
    </r>
    <r>
      <rPr>
        <b/>
        <sz val="9"/>
        <color indexed="17"/>
        <rFont val="Arial"/>
        <family val="2"/>
      </rPr>
      <t xml:space="preserve"> (pas de valeur négative !)</t>
    </r>
  </si>
  <si>
    <r>
      <t xml:space="preserve">intérêt capital propre </t>
    </r>
    <r>
      <rPr>
        <b/>
        <sz val="9"/>
        <color indexed="17"/>
        <rFont val="Arial"/>
        <family val="2"/>
      </rPr>
      <t>* Arrondi au franc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</si>
  <si>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les frais d'administration des titres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</si>
  <si>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de l'impôt des successions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</si>
  <si>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résultat du revenu imposable après déduction de l'abattement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</si>
  <si>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résultat du revenu indépendant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</si>
  <si>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la fortune imposable est négative, il faut le mentionner à 0.--</t>
    </r>
  </si>
  <si>
    <r>
      <t xml:space="preserve">        mais </t>
    </r>
    <r>
      <rPr>
        <b/>
        <u/>
        <sz val="9"/>
        <rFont val="Arial"/>
        <family val="2"/>
      </rPr>
      <t>sans</t>
    </r>
    <r>
      <rPr>
        <b/>
        <sz val="9"/>
        <rFont val="Arial"/>
        <family val="2"/>
      </rPr>
      <t xml:space="preserve"> tenir compte de la déduction pour enfant sur le montant d'impôt et de l'impôt minimum</t>
    </r>
  </si>
  <si>
    <r>
      <rPr>
        <sz val="9"/>
        <rFont val="Arial"/>
        <family val="2"/>
      </rPr>
      <t xml:space="preserve">Revenu des successions </t>
    </r>
    <r>
      <rPr>
        <b/>
        <sz val="9"/>
        <color indexed="10"/>
        <rFont val="Arial"/>
        <family val="2"/>
      </rPr>
      <t>(pas de valeur négative !)</t>
    </r>
  </si>
  <si>
    <r>
      <rPr>
        <sz val="9"/>
        <rFont val="Arial"/>
        <family val="2"/>
      </rPr>
      <t xml:space="preserve">Frais administration titres </t>
    </r>
    <r>
      <rPr>
        <b/>
        <sz val="9"/>
        <color indexed="10"/>
        <rFont val="Arial"/>
        <family val="2"/>
      </rPr>
      <t>(pas de valeur négative !)</t>
    </r>
  </si>
  <si>
    <r>
      <t>Revenu imposable canton/commune (par cent francs)</t>
    </r>
    <r>
      <rPr>
        <sz val="9"/>
        <color indexed="10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négative!)</t>
    </r>
  </si>
  <si>
    <r>
      <t xml:space="preserve">Impôt cantonal selon TAO </t>
    </r>
    <r>
      <rPr>
        <b/>
        <sz val="9"/>
        <color indexed="10"/>
        <rFont val="Arial"/>
        <family val="2"/>
      </rPr>
      <t xml:space="preserve">(après rabais mariés mais sans déduction enfants) </t>
    </r>
    <r>
      <rPr>
        <b/>
        <sz val="9"/>
        <color indexed="10"/>
        <rFont val="Arial"/>
        <family val="2"/>
      </rPr>
      <t>+ sans impôt minimum (pas de valeur négative)</t>
    </r>
  </si>
  <si>
    <r>
      <t xml:space="preserve">Impôt communal selon TAO </t>
    </r>
    <r>
      <rPr>
        <b/>
        <sz val="9"/>
        <color indexed="10"/>
        <rFont val="Arial"/>
        <family val="2"/>
      </rPr>
      <t>(après rabais)</t>
    </r>
    <r>
      <rPr>
        <sz val="9"/>
        <color indexed="17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négative)</t>
    </r>
  </si>
  <si>
    <r>
      <t>Fortune imposable (par mille francs)</t>
    </r>
    <r>
      <rPr>
        <sz val="9"/>
        <color indexed="17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négative!)</t>
    </r>
  </si>
  <si>
    <r>
      <t>Impôt sur rendement de fortune (canton)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(par cent franc)</t>
    </r>
  </si>
  <si>
    <r>
      <t>Impôt sur rendement de fortune (commune)</t>
    </r>
    <r>
      <rPr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(par cent franc)</t>
    </r>
  </si>
  <si>
    <t>2910 à 2913</t>
  </si>
  <si>
    <t>2600 - revenu modeste</t>
  </si>
  <si>
    <t>récapitulatif</t>
  </si>
  <si>
    <t>3010+3100</t>
  </si>
  <si>
    <t>140+140a+212 + 212a + 410+410a+180+180a</t>
  </si>
  <si>
    <t>3010 + 3100</t>
  </si>
  <si>
    <t>140+140a+212+212a+410+410a+180+180a</t>
  </si>
  <si>
    <t>Steuerperiode</t>
  </si>
  <si>
    <t>Angaben zum Steuerpflichtigen</t>
  </si>
  <si>
    <t>Name, Vorname:</t>
  </si>
  <si>
    <t>Steuerpflichtigen-Nr.:</t>
  </si>
  <si>
    <t>Einkommen</t>
  </si>
  <si>
    <t>Ziffer</t>
  </si>
  <si>
    <t>Bestimmung der konfiskatorischen Berechnung der Vermögenssteuer (ab 2012)</t>
  </si>
  <si>
    <t>Nettoeinkommen der Liegenschaften im Wallis</t>
  </si>
  <si>
    <t>Wertschriftenerträge (PP zu 60%)</t>
  </si>
  <si>
    <t>Wertschriftenverwaltung</t>
  </si>
  <si>
    <t>Einkommen aus Erbschaften</t>
  </si>
  <si>
    <t>Entlastung der Doppelbesteuerung (40% angeben)</t>
  </si>
  <si>
    <t>Vermögen</t>
  </si>
  <si>
    <t>Satz des investierten Eigenkapitals</t>
  </si>
  <si>
    <t>Gewerbliche Liegenschaften</t>
  </si>
  <si>
    <t>Betriebsmaterial</t>
  </si>
  <si>
    <t>Weitere</t>
  </si>
  <si>
    <t>./. Geschäftsschulden</t>
  </si>
  <si>
    <t>Geschäftsvermögen Netto</t>
  </si>
  <si>
    <t>Zusammenfassung</t>
  </si>
  <si>
    <t>Steuerbares Einkommen Kanton/Gemeinde (pro CHF 100.-)</t>
  </si>
  <si>
    <t>2600.- besch. Eink.</t>
  </si>
  <si>
    <t>Kantonssteuer gemäss CUV (nach Eherabatt, jedoch ohne Kinderrabatt) + ohne Minimalsteuer</t>
  </si>
  <si>
    <t>Steuerbares Vermögen (pro CHF 1'000.-)</t>
  </si>
  <si>
    <t>Berechnung von 20% des steuerbaren Einkommens</t>
  </si>
  <si>
    <t>20% davon sind:</t>
  </si>
  <si>
    <t>Berechnung des Eigenkapitalzinses</t>
  </si>
  <si>
    <t>Einkommen aus selbst. Tätigkeit nach AHV-Abzug</t>
  </si>
  <si>
    <t>Zinsen Eigenkapital</t>
  </si>
  <si>
    <t>Ertrag des investierten Eigenkapitals</t>
  </si>
  <si>
    <t>Unbeschränkte Steuerpflicht</t>
  </si>
  <si>
    <t>Voraussetzungen</t>
  </si>
  <si>
    <t>Bestimmung der konfiskatorischen Belastung</t>
  </si>
  <si>
    <t>Liegenschaften im Wallis</t>
  </si>
  <si>
    <t>Vermögenssteuern (Kanton)</t>
  </si>
  <si>
    <t>- davon Geschäftsvermögen</t>
  </si>
  <si>
    <t>Vermögenssteuern (Gemeinde)</t>
  </si>
  <si>
    <t>Total Steuern, welche zur Berechnung beigezogen werden</t>
  </si>
  <si>
    <t>./. 50% des Vermögensertrags</t>
  </si>
  <si>
    <t>Berechtigt nicht zur Ermässigung, da die Steuerbelastung nicht ausreicht</t>
  </si>
  <si>
    <t>Vermögenssteuern</t>
  </si>
  <si>
    <t>./. Ermässigung des Überschusses</t>
  </si>
  <si>
    <t>Saldo der Vermögenssteuer</t>
  </si>
  <si>
    <t>Überprüfung</t>
  </si>
  <si>
    <t>Die Hälfte der Vermögenssteuer entspricht</t>
  </si>
  <si>
    <t>Vermögenssteuer nach der Reduktion</t>
  </si>
  <si>
    <t>Aufteilung der Ermässigung</t>
  </si>
  <si>
    <t>Gemeindesteuer gemäss CUV (nach Rabatt)</t>
  </si>
  <si>
    <t>Vermögenssteuer Kanton gem. CUV</t>
  </si>
  <si>
    <t>Vermögenssteuer Gemeinde gem. CUV</t>
  </si>
  <si>
    <t>Eine Mindestbesteuerung der Hälfte der Vermögenssteuer muss bestehen bleiben
Ab Steuerperiode 2016, wird ein Selbstbehalt von CHF 10'000.- auf den Rabatt angewendet</t>
  </si>
  <si>
    <t>Wertschtiften (vor Entlastung der Doppelbesteuerung)</t>
  </si>
  <si>
    <t>Steuer auf Vermögensertrag (Kanton) (pro CHF 100.-)</t>
  </si>
  <si>
    <t>Steuer auf Vermögensertrag (Gemeinde) (pro CHF 100.-)</t>
  </si>
  <si>
    <t>Vermögenssteuern Kanton und Gemeinde + kantonale und kommunale Steuern auf dem Nettovermögensertrag übersteigen 50% des Vermögensertrags und 20% des steuerbaren Einkommens</t>
  </si>
  <si>
    <t>Anteil Ermässigung (Kanton)</t>
  </si>
  <si>
    <t>Anteil Ermässigung (Gemeinde)</t>
  </si>
  <si>
    <t>./. Selbstbehalt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</si>
</sst>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_ &quot;SFr.&quot;\ * #,##0.00_ ;_ &quot;SFr.&quot;\ * \-#,##0.00_ ;_ &quot;SFr.&quot;\ * &quot;-&quot;??_ ;_ @_ "/>
    <numFmt numFmtId="166" formatCode="0.0000%"/>
    <numFmt numFmtId="167" formatCode="0.00\‰"/>
    <numFmt numFmtId="168" formatCode="0.000000%"/>
    <numFmt numFmtId="169" formatCode="0.0%"/>
  </numFmts>
  <fonts count="64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u val="singleAccounting"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u/>
      <sz val="8"/>
      <name val="Arial"/>
      <family val="2"/>
    </font>
    <font>
      <b/>
      <sz val="9"/>
      <name val="Wingdings 3"/>
      <family val="1"/>
      <charset val="2"/>
    </font>
    <font>
      <b/>
      <sz val="8.1"/>
      <name val="Arial"/>
      <family val="2"/>
    </font>
    <font>
      <b/>
      <u/>
      <sz val="8"/>
      <color indexed="10"/>
      <name val="Arial"/>
      <family val="2"/>
    </font>
    <font>
      <u/>
      <sz val="9"/>
      <name val="Arial"/>
      <family val="2"/>
    </font>
    <font>
      <b/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13"/>
      <color indexed="12"/>
      <name val="Arial"/>
      <family val="2"/>
    </font>
    <font>
      <sz val="7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sz val="12"/>
      <color rgb="FFFF0000"/>
      <name val="Arial"/>
      <family val="2"/>
    </font>
    <font>
      <b/>
      <i/>
      <sz val="9"/>
      <color rgb="FFFF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5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26" borderId="19" applyNumberFormat="0" applyAlignment="0" applyProtection="0"/>
    <xf numFmtId="0" fontId="48" fillId="0" borderId="20" applyNumberFormat="0" applyFill="0" applyAlignment="0" applyProtection="0"/>
    <xf numFmtId="0" fontId="49" fillId="27" borderId="21" applyNumberFormat="0" applyFont="0" applyAlignment="0" applyProtection="0"/>
    <xf numFmtId="0" fontId="50" fillId="13" borderId="19" applyNumberFormat="0" applyAlignment="0" applyProtection="0"/>
    <xf numFmtId="0" fontId="51" fillId="9" borderId="0" applyNumberFormat="0" applyBorder="0" applyAlignment="0" applyProtection="0"/>
    <xf numFmtId="0" fontId="52" fillId="28" borderId="0" applyNumberFormat="0" applyBorder="0" applyAlignment="0" applyProtection="0"/>
    <xf numFmtId="0" fontId="53" fillId="10" borderId="0" applyNumberFormat="0" applyBorder="0" applyAlignment="0" applyProtection="0"/>
    <xf numFmtId="0" fontId="54" fillId="26" borderId="22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3" applyNumberFormat="0" applyFill="0" applyAlignment="0" applyProtection="0"/>
    <xf numFmtId="0" fontId="58" fillId="0" borderId="24" applyNumberFormat="0" applyFill="0" applyAlignment="0" applyProtection="0"/>
    <xf numFmtId="0" fontId="59" fillId="0" borderId="25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61" fillId="29" borderId="27" applyNumberFormat="0" applyAlignment="0" applyProtection="0"/>
    <xf numFmtId="0" fontId="49" fillId="0" borderId="0"/>
    <xf numFmtId="43" fontId="49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0" fillId="0" borderId="0" xfId="0" applyFont="1"/>
    <xf numFmtId="165" fontId="2" fillId="0" borderId="0" xfId="0" applyNumberFormat="1" applyFont="1"/>
    <xf numFmtId="165" fontId="2" fillId="0" borderId="1" xfId="0" applyNumberFormat="1" applyFont="1" applyBorder="1"/>
    <xf numFmtId="167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1" fillId="0" borderId="0" xfId="0" quotePrefix="1" applyFont="1"/>
    <xf numFmtId="0" fontId="11" fillId="0" borderId="0" xfId="0" applyFont="1"/>
    <xf numFmtId="9" fontId="4" fillId="0" borderId="0" xfId="0" applyNumberFormat="1" applyFont="1"/>
    <xf numFmtId="9" fontId="14" fillId="0" borderId="0" xfId="0" applyNumberFormat="1" applyFont="1" applyAlignment="1">
      <alignment horizontal="center"/>
    </xf>
    <xf numFmtId="165" fontId="4" fillId="0" borderId="0" xfId="0" applyNumberFormat="1" applyFont="1"/>
    <xf numFmtId="0" fontId="14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2" borderId="0" xfId="0" applyNumberFormat="1" applyFont="1" applyFill="1" applyAlignment="1">
      <alignment horizontal="left"/>
    </xf>
    <xf numFmtId="165" fontId="11" fillId="0" borderId="0" xfId="0" applyNumberFormat="1" applyFont="1"/>
    <xf numFmtId="10" fontId="2" fillId="2" borderId="0" xfId="0" applyNumberFormat="1" applyFont="1" applyFill="1" applyAlignment="1">
      <alignment horizontal="left"/>
    </xf>
    <xf numFmtId="0" fontId="2" fillId="0" borderId="0" xfId="0" quotePrefix="1" applyFont="1"/>
    <xf numFmtId="0" fontId="4" fillId="0" borderId="0" xfId="0" applyFont="1"/>
    <xf numFmtId="165" fontId="8" fillId="0" borderId="0" xfId="0" applyNumberFormat="1" applyFont="1"/>
    <xf numFmtId="10" fontId="2" fillId="0" borderId="0" xfId="0" applyNumberFormat="1" applyFont="1"/>
    <xf numFmtId="10" fontId="2" fillId="0" borderId="1" xfId="0" applyNumberFormat="1" applyFont="1" applyBorder="1"/>
    <xf numFmtId="167" fontId="2" fillId="0" borderId="0" xfId="0" applyNumberFormat="1" applyFo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/>
    <xf numFmtId="10" fontId="3" fillId="2" borderId="0" xfId="0" applyNumberFormat="1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165" fontId="19" fillId="2" borderId="0" xfId="0" applyNumberFormat="1" applyFont="1" applyFill="1"/>
    <xf numFmtId="165" fontId="17" fillId="0" borderId="0" xfId="0" applyNumberFormat="1" applyFont="1"/>
    <xf numFmtId="165" fontId="17" fillId="0" borderId="1" xfId="0" applyNumberFormat="1" applyFont="1" applyBorder="1"/>
    <xf numFmtId="0" fontId="9" fillId="0" borderId="0" xfId="0" applyFont="1"/>
    <xf numFmtId="0" fontId="3" fillId="2" borderId="0" xfId="0" applyFont="1" applyFill="1"/>
    <xf numFmtId="4" fontId="25" fillId="3" borderId="0" xfId="0" applyNumberFormat="1" applyFont="1" applyFill="1" applyProtection="1">
      <protection locked="0"/>
    </xf>
    <xf numFmtId="4" fontId="25" fillId="3" borderId="2" xfId="0" applyNumberFormat="1" applyFont="1" applyFill="1" applyBorder="1" applyProtection="1">
      <protection locked="0"/>
    </xf>
    <xf numFmtId="0" fontId="9" fillId="0" borderId="0" xfId="0" applyFont="1" applyAlignment="1">
      <alignment horizontal="right"/>
    </xf>
    <xf numFmtId="0" fontId="26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left"/>
    </xf>
    <xf numFmtId="4" fontId="2" fillId="4" borderId="0" xfId="0" applyNumberFormat="1" applyFont="1" applyFill="1"/>
    <xf numFmtId="0" fontId="2" fillId="0" borderId="4" xfId="0" applyFont="1" applyBorder="1"/>
    <xf numFmtId="0" fontId="29" fillId="0" borderId="0" xfId="0" applyFont="1"/>
    <xf numFmtId="0" fontId="3" fillId="0" borderId="0" xfId="0" applyFont="1"/>
    <xf numFmtId="10" fontId="0" fillId="0" borderId="0" xfId="0" applyNumberFormat="1"/>
    <xf numFmtId="165" fontId="13" fillId="0" borderId="0" xfId="0" applyNumberFormat="1" applyFont="1"/>
    <xf numFmtId="0" fontId="2" fillId="0" borderId="5" xfId="0" applyFont="1" applyBorder="1"/>
    <xf numFmtId="4" fontId="3" fillId="4" borderId="0" xfId="0" applyNumberFormat="1" applyFont="1" applyFill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16" fillId="5" borderId="0" xfId="0" applyFont="1" applyFill="1"/>
    <xf numFmtId="0" fontId="3" fillId="5" borderId="0" xfId="0" applyFont="1" applyFill="1"/>
    <xf numFmtId="0" fontId="21" fillId="5" borderId="0" xfId="0" applyFont="1" applyFill="1"/>
    <xf numFmtId="0" fontId="2" fillId="5" borderId="0" xfId="0" applyFont="1" applyFill="1"/>
    <xf numFmtId="0" fontId="3" fillId="0" borderId="8" xfId="0" applyFont="1" applyBorder="1"/>
    <xf numFmtId="0" fontId="3" fillId="0" borderId="9" xfId="0" applyFont="1" applyBorder="1"/>
    <xf numFmtId="0" fontId="2" fillId="0" borderId="9" xfId="0" applyFont="1" applyBorder="1"/>
    <xf numFmtId="0" fontId="2" fillId="0" borderId="10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49" fontId="2" fillId="0" borderId="4" xfId="0" applyNumberFormat="1" applyFont="1" applyBorder="1"/>
    <xf numFmtId="49" fontId="2" fillId="0" borderId="0" xfId="0" applyNumberFormat="1" applyFont="1"/>
    <xf numFmtId="0" fontId="2" fillId="2" borderId="6" xfId="0" applyFont="1" applyFill="1" applyBorder="1"/>
    <xf numFmtId="0" fontId="2" fillId="2" borderId="2" xfId="0" applyFont="1" applyFill="1" applyBorder="1"/>
    <xf numFmtId="4" fontId="25" fillId="0" borderId="0" xfId="0" applyNumberFormat="1" applyFont="1"/>
    <xf numFmtId="0" fontId="3" fillId="2" borderId="11" xfId="0" applyFont="1" applyFill="1" applyBorder="1"/>
    <xf numFmtId="0" fontId="3" fillId="2" borderId="1" xfId="0" applyFont="1" applyFill="1" applyBorder="1"/>
    <xf numFmtId="0" fontId="2" fillId="2" borderId="12" xfId="0" applyFont="1" applyFill="1" applyBorder="1"/>
    <xf numFmtId="10" fontId="15" fillId="2" borderId="0" xfId="0" applyNumberFormat="1" applyFont="1" applyFill="1"/>
    <xf numFmtId="165" fontId="2" fillId="2" borderId="4" xfId="0" applyNumberFormat="1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/>
    <xf numFmtId="0" fontId="2" fillId="0" borderId="8" xfId="0" applyFont="1" applyBorder="1"/>
    <xf numFmtId="0" fontId="28" fillId="2" borderId="4" xfId="0" applyFont="1" applyFill="1" applyBorder="1"/>
    <xf numFmtId="0" fontId="28" fillId="2" borderId="0" xfId="0" applyFont="1" applyFill="1"/>
    <xf numFmtId="0" fontId="5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13" fillId="2" borderId="4" xfId="0" applyNumberFormat="1" applyFont="1" applyFill="1" applyBorder="1" applyAlignment="1">
      <alignment horizontal="left"/>
    </xf>
    <xf numFmtId="165" fontId="13" fillId="2" borderId="0" xfId="0" applyNumberFormat="1" applyFont="1" applyFill="1" applyAlignment="1">
      <alignment horizontal="left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3" fillId="2" borderId="4" xfId="0" applyFont="1" applyFill="1" applyBorder="1"/>
    <xf numFmtId="4" fontId="3" fillId="2" borderId="0" xfId="0" applyNumberFormat="1" applyFont="1" applyFill="1"/>
    <xf numFmtId="3" fontId="25" fillId="3" borderId="0" xfId="0" applyNumberFormat="1" applyFont="1" applyFill="1" applyProtection="1">
      <protection locked="0"/>
    </xf>
    <xf numFmtId="165" fontId="36" fillId="0" borderId="0" xfId="0" applyNumberFormat="1" applyFont="1"/>
    <xf numFmtId="0" fontId="37" fillId="0" borderId="0" xfId="0" applyFont="1"/>
    <xf numFmtId="168" fontId="2" fillId="0" borderId="0" xfId="0" applyNumberFormat="1" applyFont="1"/>
    <xf numFmtId="164" fontId="2" fillId="2" borderId="0" xfId="0" applyNumberFormat="1" applyFont="1" applyFill="1"/>
    <xf numFmtId="164" fontId="2" fillId="2" borderId="1" xfId="0" applyNumberFormat="1" applyFont="1" applyFill="1" applyBorder="1"/>
    <xf numFmtId="164" fontId="2" fillId="0" borderId="0" xfId="0" applyNumberFormat="1" applyFont="1"/>
    <xf numFmtId="3" fontId="3" fillId="2" borderId="1" xfId="0" applyNumberFormat="1" applyFont="1" applyFill="1" applyBorder="1"/>
    <xf numFmtId="0" fontId="38" fillId="0" borderId="0" xfId="0" applyFont="1"/>
    <xf numFmtId="0" fontId="39" fillId="0" borderId="4" xfId="0" applyFont="1" applyBorder="1"/>
    <xf numFmtId="0" fontId="38" fillId="2" borderId="0" xfId="0" applyFont="1" applyFill="1"/>
    <xf numFmtId="0" fontId="38" fillId="2" borderId="4" xfId="0" applyFont="1" applyFill="1" applyBorder="1"/>
    <xf numFmtId="0" fontId="36" fillId="0" borderId="0" xfId="0" applyFont="1"/>
    <xf numFmtId="0" fontId="0" fillId="0" borderId="0" xfId="0" applyAlignment="1">
      <alignment vertical="center"/>
    </xf>
    <xf numFmtId="0" fontId="6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30" borderId="0" xfId="0" applyFill="1" applyAlignment="1">
      <alignment vertical="center"/>
    </xf>
    <xf numFmtId="0" fontId="62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vertical="center"/>
    </xf>
    <xf numFmtId="4" fontId="0" fillId="30" borderId="0" xfId="0" applyNumberFormat="1" applyFill="1" applyAlignment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62" fillId="30" borderId="1" xfId="0" applyFont="1" applyFill="1" applyBorder="1" applyAlignment="1">
      <alignment vertical="center"/>
    </xf>
    <xf numFmtId="0" fontId="0" fillId="30" borderId="1" xfId="0" applyFill="1" applyBorder="1" applyAlignment="1">
      <alignment vertical="center"/>
    </xf>
    <xf numFmtId="0" fontId="62" fillId="30" borderId="0" xfId="0" applyFont="1" applyFill="1" applyAlignment="1">
      <alignment vertical="center"/>
    </xf>
    <xf numFmtId="0" fontId="0" fillId="30" borderId="33" xfId="0" applyFill="1" applyBorder="1" applyAlignment="1">
      <alignment vertical="center"/>
    </xf>
    <xf numFmtId="0" fontId="0" fillId="30" borderId="32" xfId="0" applyFill="1" applyBorder="1" applyAlignment="1">
      <alignment vertical="center"/>
    </xf>
    <xf numFmtId="0" fontId="43" fillId="30" borderId="0" xfId="0" applyFont="1" applyFill="1" applyAlignment="1">
      <alignment vertical="center"/>
    </xf>
    <xf numFmtId="0" fontId="43" fillId="30" borderId="30" xfId="0" applyFont="1" applyFill="1" applyBorder="1" applyAlignment="1">
      <alignment vertical="center"/>
    </xf>
    <xf numFmtId="4" fontId="0" fillId="0" borderId="28" xfId="0" applyNumberFormat="1" applyBorder="1" applyAlignment="1" applyProtection="1">
      <alignment vertical="center"/>
      <protection locked="0"/>
    </xf>
    <xf numFmtId="10" fontId="0" fillId="32" borderId="28" xfId="0" applyNumberFormat="1" applyFill="1" applyBorder="1" applyAlignment="1">
      <alignment vertical="center"/>
    </xf>
    <xf numFmtId="0" fontId="43" fillId="30" borderId="29" xfId="0" applyFont="1" applyFill="1" applyBorder="1" applyAlignment="1">
      <alignment vertical="center"/>
    </xf>
    <xf numFmtId="0" fontId="43" fillId="30" borderId="34" xfId="0" applyFont="1" applyFill="1" applyBorder="1" applyAlignment="1">
      <alignment vertical="center"/>
    </xf>
    <xf numFmtId="0" fontId="0" fillId="30" borderId="35" xfId="0" applyFill="1" applyBorder="1" applyAlignment="1">
      <alignment vertical="center"/>
    </xf>
    <xf numFmtId="0" fontId="43" fillId="30" borderId="14" xfId="0" applyFont="1" applyFill="1" applyBorder="1" applyAlignment="1">
      <alignment vertical="center"/>
    </xf>
    <xf numFmtId="0" fontId="0" fillId="30" borderId="37" xfId="0" applyFill="1" applyBorder="1" applyAlignment="1">
      <alignment vertical="center"/>
    </xf>
    <xf numFmtId="3" fontId="0" fillId="32" borderId="28" xfId="0" applyNumberFormat="1" applyFill="1" applyBorder="1" applyAlignment="1">
      <alignment vertical="center"/>
    </xf>
    <xf numFmtId="4" fontId="0" fillId="32" borderId="28" xfId="0" applyNumberFormat="1" applyFill="1" applyBorder="1" applyAlignment="1">
      <alignment vertical="center"/>
    </xf>
    <xf numFmtId="4" fontId="0" fillId="32" borderId="36" xfId="0" applyNumberFormat="1" applyFill="1" applyBorder="1" applyAlignment="1">
      <alignment vertical="center"/>
    </xf>
    <xf numFmtId="4" fontId="0" fillId="32" borderId="38" xfId="0" applyNumberFormat="1" applyFill="1" applyBorder="1" applyAlignment="1">
      <alignment vertical="center"/>
    </xf>
    <xf numFmtId="4" fontId="43" fillId="30" borderId="0" xfId="0" applyNumberFormat="1" applyFont="1" applyFill="1" applyAlignment="1">
      <alignment vertical="center"/>
    </xf>
    <xf numFmtId="0" fontId="49" fillId="30" borderId="0" xfId="0" applyFont="1" applyFill="1" applyAlignment="1">
      <alignment vertical="center"/>
    </xf>
    <xf numFmtId="3" fontId="43" fillId="32" borderId="38" xfId="0" applyNumberFormat="1" applyFont="1" applyFill="1" applyBorder="1" applyAlignment="1">
      <alignment vertical="center"/>
    </xf>
    <xf numFmtId="4" fontId="49" fillId="32" borderId="38" xfId="0" applyNumberFormat="1" applyFont="1" applyFill="1" applyBorder="1" applyAlignment="1">
      <alignment vertical="center"/>
    </xf>
    <xf numFmtId="0" fontId="42" fillId="30" borderId="0" xfId="0" applyFont="1" applyFill="1" applyAlignment="1">
      <alignment horizontal="center" vertical="center" wrapText="1"/>
    </xf>
    <xf numFmtId="0" fontId="42" fillId="30" borderId="0" xfId="0" applyFont="1" applyFill="1" applyAlignment="1">
      <alignment vertical="center" wrapText="1"/>
    </xf>
    <xf numFmtId="0" fontId="0" fillId="31" borderId="0" xfId="0" applyFill="1" applyAlignment="1">
      <alignment vertical="center"/>
    </xf>
    <xf numFmtId="0" fontId="43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43" fillId="30" borderId="1" xfId="0" applyFont="1" applyFill="1" applyBorder="1" applyAlignment="1">
      <alignment vertical="center"/>
    </xf>
    <xf numFmtId="4" fontId="0" fillId="30" borderId="1" xfId="0" applyNumberFormat="1" applyFill="1" applyBorder="1" applyAlignment="1">
      <alignment vertical="center"/>
    </xf>
    <xf numFmtId="0" fontId="43" fillId="30" borderId="29" xfId="0" applyFont="1" applyFill="1" applyBorder="1" applyAlignment="1">
      <alignment horizontal="left" vertical="center"/>
    </xf>
    <xf numFmtId="0" fontId="43" fillId="30" borderId="30" xfId="0" applyFont="1" applyFill="1" applyBorder="1" applyAlignment="1">
      <alignment horizontal="left" vertical="center"/>
    </xf>
    <xf numFmtId="0" fontId="43" fillId="30" borderId="29" xfId="0" applyFont="1" applyFill="1" applyBorder="1" applyAlignment="1">
      <alignment horizontal="left" vertical="center" wrapText="1"/>
    </xf>
    <xf numFmtId="0" fontId="0" fillId="30" borderId="29" xfId="0" applyFill="1" applyBorder="1" applyAlignment="1">
      <alignment vertical="center"/>
    </xf>
    <xf numFmtId="0" fontId="0" fillId="30" borderId="30" xfId="0" applyFill="1" applyBorder="1" applyAlignment="1">
      <alignment vertical="center"/>
    </xf>
    <xf numFmtId="0" fontId="0" fillId="30" borderId="32" xfId="0" applyFill="1" applyBorder="1" applyAlignment="1">
      <alignment horizontal="left" vertical="center"/>
    </xf>
    <xf numFmtId="164" fontId="2" fillId="30" borderId="0" xfId="0" applyNumberFormat="1" applyFont="1" applyFill="1" applyAlignment="1">
      <alignment vertical="center"/>
    </xf>
    <xf numFmtId="164" fontId="2" fillId="30" borderId="0" xfId="0" applyNumberFormat="1" applyFont="1" applyFill="1" applyAlignment="1">
      <alignment horizontal="center" vertical="center"/>
    </xf>
    <xf numFmtId="0" fontId="49" fillId="30" borderId="0" xfId="0" applyFont="1" applyFill="1" applyAlignment="1">
      <alignment horizontal="center" vertical="center"/>
    </xf>
    <xf numFmtId="4" fontId="0" fillId="32" borderId="39" xfId="0" applyNumberFormat="1" applyFill="1" applyBorder="1" applyAlignment="1">
      <alignment vertical="center"/>
    </xf>
    <xf numFmtId="10" fontId="2" fillId="30" borderId="0" xfId="0" applyNumberFormat="1" applyFont="1" applyFill="1" applyAlignment="1">
      <alignment horizontal="left" vertical="center"/>
    </xf>
    <xf numFmtId="0" fontId="36" fillId="30" borderId="0" xfId="0" applyFont="1" applyFill="1" applyAlignment="1">
      <alignment vertical="center"/>
    </xf>
    <xf numFmtId="0" fontId="2" fillId="30" borderId="0" xfId="0" applyFont="1" applyFill="1" applyAlignment="1">
      <alignment vertical="center"/>
    </xf>
    <xf numFmtId="4" fontId="14" fillId="30" borderId="0" xfId="0" applyNumberFormat="1" applyFont="1" applyFill="1" applyAlignment="1">
      <alignment horizontal="center" vertical="center"/>
    </xf>
    <xf numFmtId="166" fontId="2" fillId="30" borderId="0" xfId="0" applyNumberFormat="1" applyFont="1" applyFill="1" applyAlignment="1">
      <alignment horizontal="left" vertical="center"/>
    </xf>
    <xf numFmtId="165" fontId="2" fillId="30" borderId="0" xfId="0" applyNumberFormat="1" applyFont="1" applyFill="1" applyAlignment="1">
      <alignment horizontal="center" vertical="center"/>
    </xf>
    <xf numFmtId="4" fontId="2" fillId="30" borderId="0" xfId="0" applyNumberFormat="1" applyFont="1" applyFill="1" applyAlignment="1">
      <alignment horizontal="left" vertical="center"/>
    </xf>
    <xf numFmtId="165" fontId="2" fillId="30" borderId="0" xfId="0" applyNumberFormat="1" applyFont="1" applyFill="1" applyAlignment="1">
      <alignment vertical="center"/>
    </xf>
    <xf numFmtId="0" fontId="2" fillId="30" borderId="0" xfId="0" applyFont="1" applyFill="1" applyAlignment="1">
      <alignment horizontal="left" vertical="center"/>
    </xf>
    <xf numFmtId="0" fontId="3" fillId="30" borderId="14" xfId="0" applyFont="1" applyFill="1" applyBorder="1" applyAlignment="1">
      <alignment vertical="center"/>
    </xf>
    <xf numFmtId="0" fontId="2" fillId="30" borderId="14" xfId="0" applyFont="1" applyFill="1" applyBorder="1" applyAlignment="1">
      <alignment vertical="center"/>
    </xf>
    <xf numFmtId="165" fontId="11" fillId="30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0" borderId="0" xfId="0" quotePrefix="1" applyFont="1" applyFill="1" applyAlignment="1">
      <alignment vertical="center"/>
    </xf>
    <xf numFmtId="167" fontId="2" fillId="30" borderId="0" xfId="0" applyNumberFormat="1" applyFont="1" applyFill="1" applyAlignment="1">
      <alignment horizontal="left" vertical="center"/>
    </xf>
    <xf numFmtId="0" fontId="3" fillId="30" borderId="0" xfId="0" applyFont="1" applyFill="1" applyAlignment="1">
      <alignment vertical="center"/>
    </xf>
    <xf numFmtId="0" fontId="4" fillId="30" borderId="0" xfId="0" applyFont="1" applyFill="1" applyAlignment="1">
      <alignment vertical="center"/>
    </xf>
    <xf numFmtId="0" fontId="17" fillId="3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5" fontId="8" fillId="30" borderId="0" xfId="0" applyNumberFormat="1" applyFont="1" applyFill="1" applyAlignment="1">
      <alignment vertical="center"/>
    </xf>
    <xf numFmtId="0" fontId="3" fillId="30" borderId="0" xfId="0" applyFont="1" applyFill="1" applyAlignment="1">
      <alignment horizontal="left" vertical="center"/>
    </xf>
    <xf numFmtId="0" fontId="2" fillId="30" borderId="1" xfId="0" applyFont="1" applyFill="1" applyBorder="1" applyAlignment="1">
      <alignment vertical="center"/>
    </xf>
    <xf numFmtId="0" fontId="17" fillId="30" borderId="0" xfId="0" applyFont="1" applyFill="1" applyAlignment="1">
      <alignment horizontal="left" vertical="center"/>
    </xf>
    <xf numFmtId="0" fontId="18" fillId="30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5" fontId="19" fillId="2" borderId="0" xfId="0" applyNumberFormat="1" applyFont="1" applyFill="1" applyAlignment="1">
      <alignment vertical="center"/>
    </xf>
    <xf numFmtId="0" fontId="6" fillId="30" borderId="1" xfId="0" applyFont="1" applyFill="1" applyBorder="1" applyAlignment="1">
      <alignment horizontal="left" vertical="center"/>
    </xf>
    <xf numFmtId="0" fontId="2" fillId="30" borderId="0" xfId="0" applyFont="1" applyFill="1" applyAlignment="1">
      <alignment horizontal="center" vertical="center"/>
    </xf>
    <xf numFmtId="10" fontId="2" fillId="30" borderId="0" xfId="0" applyNumberFormat="1" applyFont="1" applyFill="1" applyAlignment="1">
      <alignment vertical="center"/>
    </xf>
    <xf numFmtId="165" fontId="36" fillId="30" borderId="0" xfId="0" applyNumberFormat="1" applyFont="1" applyFill="1" applyAlignment="1">
      <alignment vertical="center"/>
    </xf>
    <xf numFmtId="10" fontId="2" fillId="30" borderId="1" xfId="0" applyNumberFormat="1" applyFont="1" applyFill="1" applyBorder="1" applyAlignment="1">
      <alignment vertical="center"/>
    </xf>
    <xf numFmtId="165" fontId="36" fillId="30" borderId="1" xfId="0" applyNumberFormat="1" applyFont="1" applyFill="1" applyBorder="1" applyAlignment="1">
      <alignment vertical="center"/>
    </xf>
    <xf numFmtId="167" fontId="2" fillId="30" borderId="0" xfId="0" applyNumberFormat="1" applyFont="1" applyFill="1" applyAlignment="1">
      <alignment vertical="center"/>
    </xf>
    <xf numFmtId="165" fontId="17" fillId="30" borderId="14" xfId="0" applyNumberFormat="1" applyFont="1" applyFill="1" applyBorder="1" applyAlignment="1">
      <alignment vertical="center"/>
    </xf>
    <xf numFmtId="165" fontId="17" fillId="30" borderId="0" xfId="0" applyNumberFormat="1" applyFont="1" applyFill="1" applyAlignment="1">
      <alignment vertical="center"/>
    </xf>
    <xf numFmtId="0" fontId="43" fillId="30" borderId="0" xfId="0" applyFont="1" applyFill="1" applyAlignment="1">
      <alignment vertical="center" wrapText="1"/>
    </xf>
    <xf numFmtId="0" fontId="9" fillId="30" borderId="1" xfId="0" applyFont="1" applyFill="1" applyBorder="1" applyAlignment="1">
      <alignment horizontal="left" vertical="center"/>
    </xf>
    <xf numFmtId="0" fontId="43" fillId="31" borderId="0" xfId="0" applyFont="1" applyFill="1" applyAlignment="1">
      <alignment horizontal="left" vertical="center"/>
    </xf>
    <xf numFmtId="169" fontId="43" fillId="0" borderId="0" xfId="0" applyNumberFormat="1" applyFont="1" applyAlignment="1">
      <alignment horizontal="left"/>
    </xf>
    <xf numFmtId="0" fontId="43" fillId="0" borderId="0" xfId="0" applyFont="1"/>
    <xf numFmtId="0" fontId="42" fillId="0" borderId="0" xfId="0" applyFont="1" applyAlignment="1">
      <alignment horizontal="center" vertical="center" wrapText="1"/>
    </xf>
    <xf numFmtId="0" fontId="2" fillId="30" borderId="0" xfId="0" applyFont="1" applyFill="1" applyAlignment="1">
      <alignment vertical="center" wrapText="1"/>
    </xf>
    <xf numFmtId="0" fontId="2" fillId="30" borderId="0" xfId="0" applyFont="1" applyFill="1" applyAlignment="1">
      <alignment vertical="center"/>
    </xf>
    <xf numFmtId="0" fontId="3" fillId="30" borderId="29" xfId="42" applyFont="1" applyFill="1" applyBorder="1" applyAlignment="1">
      <alignment horizontal="left" vertical="center" wrapText="1"/>
    </xf>
    <xf numFmtId="0" fontId="3" fillId="30" borderId="33" xfId="42" applyFont="1" applyFill="1" applyBorder="1" applyAlignment="1">
      <alignment horizontal="left" vertical="center" wrapText="1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165" fontId="63" fillId="30" borderId="0" xfId="0" applyNumberFormat="1" applyFont="1" applyFill="1" applyAlignment="1">
      <alignment vertical="center"/>
    </xf>
    <xf numFmtId="165" fontId="41" fillId="0" borderId="0" xfId="0" applyNumberFormat="1" applyFont="1"/>
    <xf numFmtId="0" fontId="30" fillId="0" borderId="0" xfId="0" applyFont="1"/>
    <xf numFmtId="165" fontId="17" fillId="0" borderId="0" xfId="0" applyNumberFormat="1" applyFont="1"/>
    <xf numFmtId="0" fontId="0" fillId="0" borderId="0" xfId="0"/>
    <xf numFmtId="165" fontId="41" fillId="0" borderId="1" xfId="0" applyNumberFormat="1" applyFont="1" applyBorder="1"/>
    <xf numFmtId="0" fontId="30" fillId="0" borderId="1" xfId="0" applyFont="1" applyBorder="1"/>
    <xf numFmtId="0" fontId="2" fillId="0" borderId="0" xfId="0" applyFont="1" applyAlignment="1">
      <alignment horizontal="center"/>
    </xf>
    <xf numFmtId="0" fontId="17" fillId="0" borderId="0" xfId="0" applyFont="1"/>
    <xf numFmtId="0" fontId="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26" fillId="3" borderId="16" xfId="0" applyFont="1" applyFill="1" applyBorder="1" applyAlignment="1" applyProtection="1">
      <alignment horizontal="left"/>
      <protection locked="0"/>
    </xf>
    <xf numFmtId="0" fontId="26" fillId="3" borderId="17" xfId="0" applyFont="1" applyFill="1" applyBorder="1" applyAlignment="1" applyProtection="1">
      <alignment horizontal="left"/>
      <protection locked="0"/>
    </xf>
    <xf numFmtId="0" fontId="26" fillId="3" borderId="18" xfId="0" applyFont="1" applyFill="1" applyBorder="1" applyAlignment="1" applyProtection="1">
      <alignment horizontal="left"/>
      <protection locked="0"/>
    </xf>
    <xf numFmtId="0" fontId="27" fillId="7" borderId="16" xfId="0" applyFont="1" applyFill="1" applyBorder="1" applyAlignment="1" applyProtection="1">
      <alignment horizontal="center"/>
      <protection locked="0"/>
    </xf>
    <xf numFmtId="0" fontId="27" fillId="7" borderId="17" xfId="0" applyFont="1" applyFill="1" applyBorder="1" applyAlignment="1" applyProtection="1">
      <alignment horizontal="center"/>
      <protection locked="0"/>
    </xf>
    <xf numFmtId="0" fontId="27" fillId="7" borderId="18" xfId="0" applyFont="1" applyFill="1" applyBorder="1" applyAlignment="1" applyProtection="1">
      <alignment horizontal="center"/>
      <protection locked="0"/>
    </xf>
  </cellXfs>
  <cellStyles count="45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alcul 2" xfId="26" xr:uid="{00000000-0005-0000-0000-000019000000}"/>
    <cellStyle name="Cellule liée 2" xfId="27" xr:uid="{00000000-0005-0000-0000-00001A000000}"/>
    <cellStyle name="Commentaire 2" xfId="28" xr:uid="{00000000-0005-0000-0000-00001B000000}"/>
    <cellStyle name="Entrée 2" xfId="29" xr:uid="{00000000-0005-0000-0000-00001C000000}"/>
    <cellStyle name="Insatisfaisant 2" xfId="30" xr:uid="{00000000-0005-0000-0000-00001D000000}"/>
    <cellStyle name="Milliers 2" xfId="43" xr:uid="{00000000-0005-0000-0000-00001E000000}"/>
    <cellStyle name="Neutre 2" xfId="31" xr:uid="{00000000-0005-0000-0000-00001F000000}"/>
    <cellStyle name="Normal 2" xfId="42" xr:uid="{00000000-0005-0000-0000-000020000000}"/>
    <cellStyle name="Pourcentage 2" xfId="44" xr:uid="{00000000-0005-0000-0000-000021000000}"/>
    <cellStyle name="Satisfaisant 2" xfId="32" xr:uid="{00000000-0005-0000-0000-000022000000}"/>
    <cellStyle name="Sortie 2" xfId="33" xr:uid="{00000000-0005-0000-0000-000023000000}"/>
    <cellStyle name="Standard" xfId="0" builtinId="0"/>
    <cellStyle name="Texte explicatif 2" xfId="34" xr:uid="{00000000-0005-0000-0000-000025000000}"/>
    <cellStyle name="Titre 2" xfId="35" xr:uid="{00000000-0005-0000-0000-000026000000}"/>
    <cellStyle name="Titre 1 2" xfId="36" xr:uid="{00000000-0005-0000-0000-000027000000}"/>
    <cellStyle name="Titre 2 2" xfId="37" xr:uid="{00000000-0005-0000-0000-000028000000}"/>
    <cellStyle name="Titre 3 2" xfId="38" xr:uid="{00000000-0005-0000-0000-000029000000}"/>
    <cellStyle name="Titre 4 2" xfId="39" xr:uid="{00000000-0005-0000-0000-00002A000000}"/>
    <cellStyle name="Total 2" xfId="40" xr:uid="{00000000-0005-0000-0000-00002B000000}"/>
    <cellStyle name="Vérification 2" xfId="41" xr:uid="{00000000-0005-0000-0000-00002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3</xdr:row>
      <xdr:rowOff>1</xdr:rowOff>
    </xdr:from>
    <xdr:to>
      <xdr:col>7</xdr:col>
      <xdr:colOff>10583</xdr:colOff>
      <xdr:row>9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5167" y="814918"/>
          <a:ext cx="6212416" cy="941915"/>
        </a:xfrm>
        <a:prstGeom prst="roundRect">
          <a:avLst>
            <a:gd name="adj" fmla="val 1308"/>
          </a:avLst>
        </a:prstGeom>
        <a:noFill/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0</xdr:colOff>
      <xdr:row>10</xdr:row>
      <xdr:rowOff>2116</xdr:rowOff>
    </xdr:from>
    <xdr:to>
      <xdr:col>7</xdr:col>
      <xdr:colOff>10583</xdr:colOff>
      <xdr:row>52</xdr:row>
      <xdr:rowOff>371475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7175" y="1878541"/>
          <a:ext cx="6373283" cy="7570259"/>
        </a:xfrm>
        <a:prstGeom prst="roundRect">
          <a:avLst>
            <a:gd name="adj" fmla="val 1308"/>
          </a:avLst>
        </a:prstGeom>
        <a:noFill/>
        <a:ln w="3810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16565</xdr:rowOff>
    </xdr:from>
    <xdr:to>
      <xdr:col>9</xdr:col>
      <xdr:colOff>1</xdr:colOff>
      <xdr:row>50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2218" y="935935"/>
          <a:ext cx="7098196" cy="7885043"/>
        </a:xfrm>
        <a:prstGeom prst="roundRect">
          <a:avLst>
            <a:gd name="adj" fmla="val 1308"/>
          </a:avLst>
        </a:prstGeom>
        <a:noFill/>
        <a:ln w="3810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7</xdr:col>
      <xdr:colOff>200192</xdr:colOff>
      <xdr:row>26</xdr:row>
      <xdr:rowOff>57150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952625"/>
          <a:ext cx="5486567" cy="425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D28"/>
  <sheetViews>
    <sheetView workbookViewId="0">
      <selection activeCell="B28" sqref="B28"/>
    </sheetView>
  </sheetViews>
  <sheetFormatPr baseColWidth="10" defaultRowHeight="12.75" x14ac:dyDescent="0.2"/>
  <cols>
    <col min="2" max="2" width="17.42578125" bestFit="1" customWidth="1"/>
  </cols>
  <sheetData>
    <row r="1" spans="1:4" x14ac:dyDescent="0.2">
      <c r="A1" t="s">
        <v>61</v>
      </c>
      <c r="B1" t="s">
        <v>63</v>
      </c>
      <c r="C1" s="102" t="s">
        <v>70</v>
      </c>
      <c r="D1" s="102" t="s">
        <v>71</v>
      </c>
    </row>
    <row r="2" spans="1:4" x14ac:dyDescent="0.2">
      <c r="A2">
        <v>1</v>
      </c>
      <c r="B2" s="52">
        <v>0</v>
      </c>
      <c r="C2">
        <v>0</v>
      </c>
      <c r="D2">
        <v>0</v>
      </c>
    </row>
    <row r="3" spans="1:4" x14ac:dyDescent="0.2">
      <c r="A3">
        <v>2001</v>
      </c>
      <c r="B3" s="52">
        <v>3.5000000000000003E-2</v>
      </c>
      <c r="C3">
        <v>0</v>
      </c>
      <c r="D3">
        <v>0</v>
      </c>
    </row>
    <row r="4" spans="1:4" x14ac:dyDescent="0.2">
      <c r="A4">
        <v>2002</v>
      </c>
      <c r="B4" s="52">
        <v>3.5000000000000003E-2</v>
      </c>
      <c r="C4">
        <v>0</v>
      </c>
      <c r="D4">
        <v>0</v>
      </c>
    </row>
    <row r="5" spans="1:4" x14ac:dyDescent="0.2">
      <c r="A5">
        <v>2003</v>
      </c>
      <c r="B5" s="52">
        <v>2.5000000000000001E-2</v>
      </c>
      <c r="C5">
        <v>0</v>
      </c>
      <c r="D5">
        <v>0</v>
      </c>
    </row>
    <row r="6" spans="1:4" x14ac:dyDescent="0.2">
      <c r="A6">
        <v>2004</v>
      </c>
      <c r="B6" s="52">
        <v>2.5000000000000001E-2</v>
      </c>
      <c r="C6">
        <v>0</v>
      </c>
      <c r="D6">
        <v>0</v>
      </c>
    </row>
    <row r="7" spans="1:4" x14ac:dyDescent="0.2">
      <c r="A7">
        <v>2005</v>
      </c>
      <c r="B7" s="52">
        <v>0.02</v>
      </c>
      <c r="C7">
        <v>0</v>
      </c>
      <c r="D7">
        <v>0</v>
      </c>
    </row>
    <row r="8" spans="1:4" x14ac:dyDescent="0.2">
      <c r="A8">
        <v>2006</v>
      </c>
      <c r="B8" s="52">
        <v>2.5000000000000001E-2</v>
      </c>
      <c r="C8">
        <v>0</v>
      </c>
      <c r="D8">
        <v>0</v>
      </c>
    </row>
    <row r="9" spans="1:4" x14ac:dyDescent="0.2">
      <c r="A9">
        <v>2007</v>
      </c>
      <c r="B9" s="52">
        <v>0.03</v>
      </c>
      <c r="C9">
        <v>0</v>
      </c>
      <c r="D9">
        <v>0</v>
      </c>
    </row>
    <row r="10" spans="1:4" x14ac:dyDescent="0.2">
      <c r="A10">
        <v>2008</v>
      </c>
      <c r="B10" s="52">
        <v>3.5000000000000003E-2</v>
      </c>
      <c r="C10">
        <v>0</v>
      </c>
      <c r="D10">
        <v>0</v>
      </c>
    </row>
    <row r="11" spans="1:4" x14ac:dyDescent="0.2">
      <c r="A11">
        <v>2009</v>
      </c>
      <c r="B11" s="52">
        <v>2.5000000000000001E-2</v>
      </c>
      <c r="C11">
        <v>0</v>
      </c>
      <c r="D11">
        <v>0</v>
      </c>
    </row>
    <row r="12" spans="1:4" x14ac:dyDescent="0.2">
      <c r="A12">
        <v>2010</v>
      </c>
      <c r="B12" s="52">
        <v>0.02</v>
      </c>
      <c r="C12">
        <v>0</v>
      </c>
      <c r="D12">
        <v>0</v>
      </c>
    </row>
    <row r="13" spans="1:4" x14ac:dyDescent="0.2">
      <c r="A13">
        <v>2011</v>
      </c>
      <c r="B13" s="52">
        <v>0.02</v>
      </c>
      <c r="C13">
        <v>0</v>
      </c>
      <c r="D13">
        <v>0</v>
      </c>
    </row>
    <row r="14" spans="1:4" x14ac:dyDescent="0.2">
      <c r="A14">
        <v>2012</v>
      </c>
      <c r="B14" s="52">
        <v>0.01</v>
      </c>
      <c r="C14">
        <v>0</v>
      </c>
      <c r="D14">
        <v>0</v>
      </c>
    </row>
    <row r="15" spans="1:4" x14ac:dyDescent="0.2">
      <c r="A15">
        <v>2013</v>
      </c>
      <c r="B15" s="52">
        <v>1.4999999999999999E-2</v>
      </c>
      <c r="C15">
        <v>0</v>
      </c>
      <c r="D15">
        <v>0</v>
      </c>
    </row>
    <row r="16" spans="1:4" x14ac:dyDescent="0.2">
      <c r="A16">
        <v>2014</v>
      </c>
      <c r="B16" s="52">
        <v>0.01</v>
      </c>
      <c r="C16">
        <v>0</v>
      </c>
      <c r="D16">
        <v>0</v>
      </c>
    </row>
    <row r="17" spans="1:4" x14ac:dyDescent="0.2">
      <c r="A17">
        <v>2015</v>
      </c>
      <c r="B17" s="52">
        <v>5.0000000000000001E-3</v>
      </c>
      <c r="C17">
        <v>0</v>
      </c>
      <c r="D17">
        <v>0</v>
      </c>
    </row>
    <row r="18" spans="1:4" x14ac:dyDescent="0.2">
      <c r="A18">
        <v>2016</v>
      </c>
      <c r="B18" s="52">
        <v>0</v>
      </c>
      <c r="C18">
        <v>5000</v>
      </c>
      <c r="D18">
        <v>5000</v>
      </c>
    </row>
    <row r="19" spans="1:4" x14ac:dyDescent="0.2">
      <c r="A19">
        <v>2017</v>
      </c>
      <c r="B19" s="52">
        <v>5.0000000000000001E-3</v>
      </c>
      <c r="C19">
        <v>5000</v>
      </c>
      <c r="D19">
        <v>5000</v>
      </c>
    </row>
    <row r="20" spans="1:4" x14ac:dyDescent="0.2">
      <c r="A20">
        <v>2018</v>
      </c>
      <c r="B20" s="52">
        <v>5.0000000000000001E-3</v>
      </c>
      <c r="C20">
        <v>5000</v>
      </c>
      <c r="D20">
        <v>5000</v>
      </c>
    </row>
    <row r="21" spans="1:4" x14ac:dyDescent="0.2">
      <c r="A21">
        <v>2019</v>
      </c>
      <c r="B21" s="52">
        <v>0</v>
      </c>
      <c r="C21">
        <v>5000</v>
      </c>
      <c r="D21">
        <v>5000</v>
      </c>
    </row>
    <row r="22" spans="1:4" x14ac:dyDescent="0.2">
      <c r="A22">
        <v>2020</v>
      </c>
      <c r="B22" s="52">
        <v>0</v>
      </c>
      <c r="C22">
        <v>5000</v>
      </c>
      <c r="D22">
        <v>5000</v>
      </c>
    </row>
    <row r="23" spans="1:4" x14ac:dyDescent="0.2">
      <c r="A23">
        <v>2021</v>
      </c>
      <c r="B23" s="52">
        <v>0</v>
      </c>
      <c r="C23">
        <v>5000</v>
      </c>
      <c r="D23">
        <v>5000</v>
      </c>
    </row>
    <row r="24" spans="1:4" x14ac:dyDescent="0.2">
      <c r="A24">
        <v>2022</v>
      </c>
      <c r="B24" s="52">
        <v>1.4999999999999999E-2</v>
      </c>
      <c r="C24">
        <v>5000</v>
      </c>
      <c r="D24">
        <v>5000</v>
      </c>
    </row>
    <row r="25" spans="1:4" x14ac:dyDescent="0.2">
      <c r="A25">
        <v>2023</v>
      </c>
      <c r="B25" s="52">
        <v>0.02</v>
      </c>
      <c r="C25">
        <v>5000</v>
      </c>
      <c r="D25">
        <v>5000</v>
      </c>
    </row>
    <row r="26" spans="1:4" x14ac:dyDescent="0.2">
      <c r="A26">
        <v>2024</v>
      </c>
      <c r="B26" s="52">
        <v>1.4999999999999999E-2</v>
      </c>
      <c r="C26">
        <v>5000</v>
      </c>
      <c r="D26">
        <v>5000</v>
      </c>
    </row>
    <row r="27" spans="1:4" x14ac:dyDescent="0.2">
      <c r="A27">
        <v>2025</v>
      </c>
      <c r="B27" s="52">
        <v>1.4999999999999999E-2</v>
      </c>
      <c r="C27">
        <v>5000</v>
      </c>
      <c r="D27">
        <v>5000</v>
      </c>
    </row>
    <row r="28" spans="1:4" x14ac:dyDescent="0.2">
      <c r="A28">
        <v>2026</v>
      </c>
      <c r="B28" s="52">
        <v>0</v>
      </c>
      <c r="C28">
        <v>5000</v>
      </c>
      <c r="D28">
        <v>5000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B1:K53"/>
  <sheetViews>
    <sheetView showGridLines="0" tabSelected="1" zoomScaleNormal="100" zoomScaleSheetLayoutView="100" workbookViewId="0">
      <selection activeCell="D8" sqref="D8"/>
    </sheetView>
  </sheetViews>
  <sheetFormatPr baseColWidth="10" defaultRowHeight="12.75" x14ac:dyDescent="0.2"/>
  <cols>
    <col min="1" max="1" width="3.85546875" style="113" customWidth="1"/>
    <col min="2" max="2" width="1.28515625" style="113" customWidth="1"/>
    <col min="3" max="3" width="59.28515625" style="113" bestFit="1" customWidth="1"/>
    <col min="4" max="4" width="19.140625" style="113" customWidth="1"/>
    <col min="5" max="5" width="4" style="113" customWidth="1"/>
    <col min="6" max="6" width="19" style="113" customWidth="1"/>
    <col min="7" max="7" width="1.28515625" style="113" customWidth="1"/>
    <col min="8" max="8" width="3.85546875" style="113" customWidth="1"/>
    <col min="9" max="10" width="11.42578125" style="113"/>
    <col min="11" max="11" width="5.42578125" style="113" customWidth="1"/>
    <col min="12" max="12" width="3.85546875" style="113" customWidth="1"/>
    <col min="13" max="16384" width="11.42578125" style="113"/>
  </cols>
  <sheetData>
    <row r="1" spans="2:11" ht="4.5" customHeight="1" x14ac:dyDescent="0.2"/>
    <row r="2" spans="2:11" ht="54" customHeight="1" x14ac:dyDescent="0.2">
      <c r="B2" s="202" t="s">
        <v>101</v>
      </c>
      <c r="C2" s="202"/>
      <c r="D2" s="202"/>
      <c r="E2" s="202"/>
      <c r="F2" s="202"/>
      <c r="G2" s="202"/>
      <c r="H2" s="115"/>
      <c r="I2" s="115"/>
      <c r="J2" s="115"/>
      <c r="K2" s="115"/>
    </row>
    <row r="3" spans="2:11" ht="6" customHeight="1" x14ac:dyDescent="0.2"/>
    <row r="4" spans="2:11" ht="15.75" x14ac:dyDescent="0.2">
      <c r="B4" s="147"/>
      <c r="C4" s="119" t="s">
        <v>96</v>
      </c>
      <c r="D4" s="120"/>
      <c r="E4" s="120"/>
      <c r="F4" s="120"/>
      <c r="G4" s="147"/>
    </row>
    <row r="5" spans="2:11" x14ac:dyDescent="0.2">
      <c r="B5" s="147"/>
      <c r="C5" s="147"/>
      <c r="D5" s="147"/>
      <c r="E5" s="147"/>
      <c r="F5" s="147"/>
      <c r="G5" s="147"/>
    </row>
    <row r="6" spans="2:11" x14ac:dyDescent="0.2">
      <c r="B6" s="147"/>
      <c r="C6" s="199" t="s">
        <v>97</v>
      </c>
      <c r="D6" s="207"/>
      <c r="E6" s="208"/>
      <c r="F6" s="209"/>
      <c r="G6" s="147"/>
    </row>
    <row r="7" spans="2:11" x14ac:dyDescent="0.2">
      <c r="B7" s="147"/>
      <c r="C7" s="199" t="s">
        <v>98</v>
      </c>
      <c r="D7" s="207"/>
      <c r="E7" s="208"/>
      <c r="F7" s="209"/>
      <c r="G7" s="147"/>
    </row>
    <row r="8" spans="2:11" x14ac:dyDescent="0.2">
      <c r="B8" s="147"/>
      <c r="C8" s="199" t="s">
        <v>95</v>
      </c>
      <c r="D8" s="122">
        <v>2024</v>
      </c>
      <c r="E8" s="147"/>
      <c r="F8" s="147"/>
      <c r="G8" s="147"/>
    </row>
    <row r="9" spans="2:11" ht="7.5" customHeight="1" x14ac:dyDescent="0.2">
      <c r="B9" s="147"/>
      <c r="C9" s="147"/>
      <c r="D9" s="147"/>
      <c r="E9" s="147"/>
      <c r="F9" s="147"/>
      <c r="G9" s="147"/>
    </row>
    <row r="10" spans="2:11" ht="9" customHeight="1" x14ac:dyDescent="0.2">
      <c r="C10" s="114"/>
      <c r="D10" s="148"/>
      <c r="F10" s="149"/>
    </row>
    <row r="11" spans="2:11" ht="15.75" x14ac:dyDescent="0.2">
      <c r="B11" s="118"/>
      <c r="C11" s="123" t="s">
        <v>99</v>
      </c>
      <c r="D11" s="150" t="s">
        <v>100</v>
      </c>
      <c r="E11" s="124"/>
      <c r="F11" s="151"/>
      <c r="G11" s="118"/>
    </row>
    <row r="12" spans="2:11" ht="15.75" x14ac:dyDescent="0.2">
      <c r="B12" s="118"/>
      <c r="C12" s="125"/>
      <c r="D12" s="118"/>
      <c r="E12" s="118"/>
      <c r="F12" s="121"/>
      <c r="G12" s="118"/>
    </row>
    <row r="13" spans="2:11" x14ac:dyDescent="0.2">
      <c r="B13" s="118"/>
      <c r="C13" s="128" t="s">
        <v>102</v>
      </c>
      <c r="D13" s="152">
        <v>1110</v>
      </c>
      <c r="E13" s="126"/>
      <c r="F13" s="130">
        <v>0</v>
      </c>
      <c r="G13" s="118"/>
    </row>
    <row r="14" spans="2:11" x14ac:dyDescent="0.2">
      <c r="B14" s="118"/>
      <c r="C14" s="128" t="s">
        <v>103</v>
      </c>
      <c r="D14" s="153">
        <v>1210</v>
      </c>
      <c r="E14" s="127"/>
      <c r="F14" s="130">
        <v>0</v>
      </c>
      <c r="G14" s="118"/>
    </row>
    <row r="15" spans="2:11" x14ac:dyDescent="0.2">
      <c r="B15" s="118"/>
      <c r="C15" s="128" t="s">
        <v>104</v>
      </c>
      <c r="D15" s="153">
        <v>1800</v>
      </c>
      <c r="E15" s="127"/>
      <c r="F15" s="130">
        <v>0</v>
      </c>
      <c r="G15" s="118"/>
    </row>
    <row r="16" spans="2:11" x14ac:dyDescent="0.2">
      <c r="B16" s="118"/>
      <c r="C16" s="128" t="s">
        <v>105</v>
      </c>
      <c r="D16" s="153">
        <v>1300</v>
      </c>
      <c r="E16" s="127"/>
      <c r="F16" s="130"/>
      <c r="G16" s="118"/>
    </row>
    <row r="17" spans="2:7" x14ac:dyDescent="0.2">
      <c r="B17" s="118"/>
      <c r="C17" s="128" t="s">
        <v>106</v>
      </c>
      <c r="D17" s="153">
        <v>9300</v>
      </c>
      <c r="E17" s="127"/>
      <c r="F17" s="130">
        <v>0</v>
      </c>
      <c r="G17" s="118"/>
    </row>
    <row r="18" spans="2:7" x14ac:dyDescent="0.2">
      <c r="B18" s="118"/>
      <c r="C18" s="118"/>
      <c r="D18" s="118"/>
      <c r="E18" s="118"/>
      <c r="F18" s="121"/>
      <c r="G18" s="118"/>
    </row>
    <row r="19" spans="2:7" ht="15.75" x14ac:dyDescent="0.2">
      <c r="B19" s="118"/>
      <c r="C19" s="123" t="s">
        <v>107</v>
      </c>
      <c r="D19" s="150" t="s">
        <v>100</v>
      </c>
      <c r="E19" s="124"/>
      <c r="F19" s="151"/>
      <c r="G19" s="118"/>
    </row>
    <row r="20" spans="2:7" ht="6.75" customHeight="1" x14ac:dyDescent="0.2">
      <c r="B20" s="118"/>
      <c r="C20" s="118"/>
      <c r="D20" s="118"/>
      <c r="E20" s="118"/>
      <c r="F20" s="121"/>
      <c r="G20" s="118"/>
    </row>
    <row r="21" spans="2:7" x14ac:dyDescent="0.2">
      <c r="B21" s="118"/>
      <c r="C21" s="118" t="s">
        <v>108</v>
      </c>
      <c r="D21" s="152"/>
      <c r="E21" s="126"/>
      <c r="F21" s="131">
        <f>VLOOKUP(D8,Formules!A$2:D$27,2)</f>
        <v>1.4999999999999999E-2</v>
      </c>
      <c r="G21" s="118"/>
    </row>
    <row r="22" spans="2:7" x14ac:dyDescent="0.2">
      <c r="B22" s="118"/>
      <c r="C22" s="128" t="s">
        <v>109</v>
      </c>
      <c r="D22" s="152" t="s">
        <v>88</v>
      </c>
      <c r="E22" s="127"/>
      <c r="F22" s="130">
        <v>0</v>
      </c>
      <c r="G22" s="118"/>
    </row>
    <row r="23" spans="2:7" x14ac:dyDescent="0.2">
      <c r="B23" s="118"/>
      <c r="C23" s="128" t="s">
        <v>110</v>
      </c>
      <c r="D23" s="153">
        <v>3020</v>
      </c>
      <c r="E23" s="127"/>
      <c r="F23" s="130">
        <v>0</v>
      </c>
      <c r="G23" s="118"/>
    </row>
    <row r="24" spans="2:7" x14ac:dyDescent="0.2">
      <c r="B24" s="118"/>
      <c r="C24" s="128" t="s">
        <v>111</v>
      </c>
      <c r="D24" s="153" t="s">
        <v>93</v>
      </c>
      <c r="E24" s="127"/>
      <c r="F24" s="130">
        <v>0</v>
      </c>
      <c r="G24" s="118"/>
    </row>
    <row r="25" spans="2:7" x14ac:dyDescent="0.2">
      <c r="B25" s="118"/>
      <c r="C25" s="128" t="s">
        <v>112</v>
      </c>
      <c r="D25" s="153">
        <v>3600</v>
      </c>
      <c r="E25" s="127"/>
      <c r="F25" s="130">
        <v>0</v>
      </c>
      <c r="G25" s="118"/>
    </row>
    <row r="26" spans="2:7" ht="3.75" customHeight="1" x14ac:dyDescent="0.2">
      <c r="B26" s="118"/>
      <c r="C26" s="118"/>
      <c r="D26" s="118"/>
      <c r="E26" s="118"/>
      <c r="F26" s="121"/>
      <c r="G26" s="118"/>
    </row>
    <row r="27" spans="2:7" x14ac:dyDescent="0.2">
      <c r="B27" s="118"/>
      <c r="C27" s="128" t="s">
        <v>113</v>
      </c>
      <c r="D27" s="118"/>
      <c r="E27" s="118"/>
      <c r="F27" s="141">
        <f>F22+F23+F24+-F25</f>
        <v>0</v>
      </c>
      <c r="G27" s="118"/>
    </row>
    <row r="28" spans="2:7" x14ac:dyDescent="0.2">
      <c r="B28" s="118"/>
      <c r="C28" s="118"/>
      <c r="D28" s="118"/>
      <c r="E28" s="118"/>
      <c r="F28" s="121"/>
      <c r="G28" s="118"/>
    </row>
    <row r="29" spans="2:7" ht="15.75" x14ac:dyDescent="0.2">
      <c r="B29" s="118"/>
      <c r="C29" s="123" t="s">
        <v>114</v>
      </c>
      <c r="D29" s="150" t="s">
        <v>100</v>
      </c>
      <c r="E29" s="124"/>
      <c r="F29" s="151"/>
      <c r="G29" s="118"/>
    </row>
    <row r="30" spans="2:7" ht="6" customHeight="1" x14ac:dyDescent="0.2">
      <c r="B30" s="118"/>
      <c r="C30" s="118"/>
      <c r="D30" s="118"/>
      <c r="E30" s="118"/>
      <c r="F30" s="121"/>
      <c r="G30" s="118"/>
    </row>
    <row r="31" spans="2:7" x14ac:dyDescent="0.2">
      <c r="B31" s="118"/>
      <c r="C31" s="128" t="s">
        <v>115</v>
      </c>
      <c r="D31" s="154" t="s">
        <v>116</v>
      </c>
      <c r="E31" s="126"/>
      <c r="F31" s="130">
        <v>0</v>
      </c>
      <c r="G31" s="118"/>
    </row>
    <row r="32" spans="2:7" ht="25.5" x14ac:dyDescent="0.2">
      <c r="B32" s="118"/>
      <c r="C32" s="197" t="s">
        <v>117</v>
      </c>
      <c r="D32" s="152"/>
      <c r="E32" s="127"/>
      <c r="F32" s="130">
        <v>0</v>
      </c>
      <c r="G32" s="118"/>
    </row>
    <row r="33" spans="2:7" x14ac:dyDescent="0.2">
      <c r="B33" s="118"/>
      <c r="C33" s="128" t="s">
        <v>142</v>
      </c>
      <c r="D33" s="153"/>
      <c r="E33" s="127"/>
      <c r="F33" s="130">
        <v>0</v>
      </c>
      <c r="G33" s="118"/>
    </row>
    <row r="34" spans="2:7" x14ac:dyDescent="0.2">
      <c r="B34" s="118"/>
      <c r="C34" s="128" t="s">
        <v>118</v>
      </c>
      <c r="D34" s="153"/>
      <c r="E34" s="127"/>
      <c r="F34" s="130">
        <v>0</v>
      </c>
      <c r="G34" s="118"/>
    </row>
    <row r="35" spans="2:7" x14ac:dyDescent="0.2">
      <c r="B35" s="118"/>
      <c r="C35" s="128" t="s">
        <v>143</v>
      </c>
      <c r="D35" s="153"/>
      <c r="E35" s="127"/>
      <c r="F35" s="130">
        <v>0</v>
      </c>
      <c r="G35" s="118"/>
    </row>
    <row r="36" spans="2:7" ht="12" customHeight="1" x14ac:dyDescent="0.2">
      <c r="B36" s="118"/>
      <c r="C36" s="128" t="s">
        <v>144</v>
      </c>
      <c r="D36" s="153"/>
      <c r="E36" s="127"/>
      <c r="F36" s="130">
        <v>0</v>
      </c>
      <c r="G36" s="118"/>
    </row>
    <row r="37" spans="2:7" x14ac:dyDescent="0.2">
      <c r="B37" s="118"/>
      <c r="C37" s="118"/>
      <c r="D37" s="118"/>
      <c r="E37" s="118"/>
      <c r="F37" s="121"/>
      <c r="G37" s="118"/>
    </row>
    <row r="38" spans="2:7" ht="15.75" x14ac:dyDescent="0.2">
      <c r="B38" s="118"/>
      <c r="C38" s="123" t="s">
        <v>119</v>
      </c>
      <c r="D38" s="150"/>
      <c r="E38" s="124"/>
      <c r="F38" s="151"/>
      <c r="G38" s="118"/>
    </row>
    <row r="39" spans="2:7" ht="6.75" customHeight="1" x14ac:dyDescent="0.2">
      <c r="B39" s="118"/>
      <c r="C39" s="118"/>
      <c r="D39" s="118"/>
      <c r="E39" s="118"/>
      <c r="F39" s="121"/>
      <c r="G39" s="118"/>
    </row>
    <row r="40" spans="2:7" x14ac:dyDescent="0.2">
      <c r="B40" s="118"/>
      <c r="C40" s="128" t="s">
        <v>115</v>
      </c>
      <c r="D40" s="155"/>
      <c r="E40" s="126"/>
      <c r="F40" s="138">
        <f>F31</f>
        <v>0</v>
      </c>
      <c r="G40" s="118"/>
    </row>
    <row r="41" spans="2:7" x14ac:dyDescent="0.2">
      <c r="B41" s="118"/>
      <c r="C41" s="128" t="s">
        <v>120</v>
      </c>
      <c r="D41" s="156"/>
      <c r="E41" s="127"/>
      <c r="F41" s="138">
        <f>F40*0.2</f>
        <v>0</v>
      </c>
      <c r="G41" s="118"/>
    </row>
    <row r="42" spans="2:7" x14ac:dyDescent="0.2">
      <c r="B42" s="118"/>
      <c r="C42" s="118"/>
      <c r="D42" s="118"/>
      <c r="E42" s="118"/>
      <c r="F42" s="121"/>
      <c r="G42" s="118"/>
    </row>
    <row r="43" spans="2:7" ht="15.75" x14ac:dyDescent="0.2">
      <c r="B43" s="118"/>
      <c r="C43" s="123" t="s">
        <v>121</v>
      </c>
      <c r="D43" s="150"/>
      <c r="E43" s="124"/>
      <c r="F43" s="151"/>
      <c r="G43" s="118"/>
    </row>
    <row r="44" spans="2:7" ht="6.75" customHeight="1" x14ac:dyDescent="0.2">
      <c r="B44" s="118"/>
      <c r="C44" s="118"/>
      <c r="D44" s="118"/>
      <c r="E44" s="118"/>
      <c r="F44" s="121"/>
      <c r="G44" s="118"/>
    </row>
    <row r="45" spans="2:7" ht="29.25" customHeight="1" x14ac:dyDescent="0.2">
      <c r="B45" s="118"/>
      <c r="C45" s="128" t="s">
        <v>122</v>
      </c>
      <c r="D45" s="205" t="s">
        <v>94</v>
      </c>
      <c r="E45" s="206"/>
      <c r="F45" s="130">
        <v>0</v>
      </c>
      <c r="G45" s="118"/>
    </row>
    <row r="46" spans="2:7" x14ac:dyDescent="0.2">
      <c r="B46" s="118"/>
      <c r="C46" s="128" t="s">
        <v>123</v>
      </c>
      <c r="D46" s="129"/>
      <c r="E46" s="157"/>
      <c r="F46" s="138">
        <f>IF(F27&gt;0,ROUND(F27*F21,0),0)</f>
        <v>0</v>
      </c>
      <c r="G46" s="118"/>
    </row>
    <row r="47" spans="2:7" x14ac:dyDescent="0.2">
      <c r="B47" s="118"/>
      <c r="C47" s="128" t="s">
        <v>124</v>
      </c>
      <c r="D47" s="129"/>
      <c r="E47" s="157"/>
      <c r="F47" s="138">
        <f>IF(F46&gt;F45,F45,F46)</f>
        <v>0</v>
      </c>
      <c r="G47" s="118"/>
    </row>
    <row r="48" spans="2:7" x14ac:dyDescent="0.2">
      <c r="B48" s="118"/>
      <c r="C48" s="118"/>
      <c r="D48" s="118"/>
      <c r="E48" s="118"/>
      <c r="F48" s="118"/>
      <c r="G48" s="118"/>
    </row>
    <row r="49" spans="2:7" ht="15.75" x14ac:dyDescent="0.2">
      <c r="B49" s="118"/>
      <c r="C49" s="123" t="s">
        <v>126</v>
      </c>
      <c r="D49" s="124"/>
      <c r="E49" s="124"/>
      <c r="F49" s="124"/>
      <c r="G49" s="118"/>
    </row>
    <row r="50" spans="2:7" ht="6" customHeight="1" x14ac:dyDescent="0.2">
      <c r="B50" s="118"/>
      <c r="C50" s="118"/>
      <c r="D50" s="118"/>
      <c r="E50" s="118"/>
      <c r="F50" s="118"/>
      <c r="G50" s="118"/>
    </row>
    <row r="51" spans="2:7" x14ac:dyDescent="0.2">
      <c r="B51" s="118"/>
      <c r="C51" s="204" t="s">
        <v>125</v>
      </c>
      <c r="D51" s="204"/>
      <c r="E51" s="204"/>
      <c r="F51" s="204"/>
      <c r="G51" s="118"/>
    </row>
    <row r="52" spans="2:7" ht="30" customHeight="1" x14ac:dyDescent="0.2">
      <c r="B52" s="118"/>
      <c r="C52" s="203" t="s">
        <v>149</v>
      </c>
      <c r="D52" s="203"/>
      <c r="E52" s="203"/>
      <c r="F52" s="203"/>
      <c r="G52" s="118"/>
    </row>
    <row r="53" spans="2:7" ht="30" customHeight="1" x14ac:dyDescent="0.2">
      <c r="B53" s="118"/>
      <c r="C53" s="203" t="s">
        <v>145</v>
      </c>
      <c r="D53" s="204"/>
      <c r="E53" s="204"/>
      <c r="F53" s="204"/>
      <c r="G53" s="118"/>
    </row>
  </sheetData>
  <sheetProtection algorithmName="SHA-512" hashValue="V8D6MM8oskZAf46ZrxgoiG/bwWm1XL6OIWeqsYoZtOxgMbWkNLf9co/VhOFkUEzqcsYeQn89bMKo+8blzP8zjA==" saltValue="H6AGI6rxX+X5jNJsGIx/PA==" spinCount="100000" sheet="1" selectLockedCells="1"/>
  <mergeCells count="7">
    <mergeCell ref="B2:G2"/>
    <mergeCell ref="C52:F52"/>
    <mergeCell ref="C53:F53"/>
    <mergeCell ref="D45:E45"/>
    <mergeCell ref="D6:F6"/>
    <mergeCell ref="D7:F7"/>
    <mergeCell ref="C51:F51"/>
  </mergeCells>
  <pageMargins left="0.7" right="0.7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Année erronée" error="Veuillez entrer une année depuis 2001" xr:uid="{00000000-0002-0000-0100-000000000000}">
          <x14:formula1>
            <xm:f>Formules!$A$14:$A$27</xm:f>
          </x14:formula1>
          <xm:sqref>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2:L50"/>
  <sheetViews>
    <sheetView showGridLines="0" zoomScaleNormal="100" zoomScaleSheetLayoutView="100" workbookViewId="0">
      <selection activeCell="B2" sqref="B2:I2"/>
    </sheetView>
  </sheetViews>
  <sheetFormatPr baseColWidth="10" defaultRowHeight="12.75" x14ac:dyDescent="0.2"/>
  <cols>
    <col min="1" max="1" width="2.7109375" style="113" customWidth="1"/>
    <col min="2" max="2" width="1.140625" style="113" customWidth="1"/>
    <col min="3" max="3" width="49.85546875" style="113" customWidth="1"/>
    <col min="4" max="4" width="8.7109375" style="113" customWidth="1"/>
    <col min="5" max="5" width="17.5703125" style="113" customWidth="1"/>
    <col min="6" max="6" width="2" style="113" customWidth="1"/>
    <col min="7" max="7" width="13.28515625" style="113" bestFit="1" customWidth="1"/>
    <col min="8" max="8" width="15.5703125" style="113" customWidth="1"/>
    <col min="9" max="9" width="1.140625" style="113" customWidth="1"/>
    <col min="10" max="10" width="2.85546875" style="113" customWidth="1"/>
    <col min="11" max="11" width="11.42578125" style="113"/>
    <col min="12" max="12" width="5.42578125" style="113" customWidth="1"/>
    <col min="13" max="13" width="3.85546875" style="113" customWidth="1"/>
    <col min="14" max="16384" width="11.42578125" style="113"/>
  </cols>
  <sheetData>
    <row r="2" spans="2:12" ht="54" customHeight="1" x14ac:dyDescent="0.2">
      <c r="B2" s="202" t="s">
        <v>101</v>
      </c>
      <c r="C2" s="202"/>
      <c r="D2" s="202"/>
      <c r="E2" s="202"/>
      <c r="F2" s="202"/>
      <c r="G2" s="202"/>
      <c r="H2" s="202"/>
      <c r="I2" s="202"/>
      <c r="J2" s="115"/>
      <c r="K2" s="115"/>
      <c r="L2" s="115"/>
    </row>
    <row r="3" spans="2:12" ht="5.25" customHeight="1" x14ac:dyDescent="0.2">
      <c r="C3" s="116"/>
      <c r="D3" s="116"/>
      <c r="E3" s="116"/>
      <c r="F3" s="116"/>
      <c r="G3" s="116"/>
      <c r="H3" s="116"/>
      <c r="I3" s="115"/>
      <c r="J3" s="115"/>
      <c r="K3" s="115"/>
      <c r="L3" s="115"/>
    </row>
    <row r="4" spans="2:12" ht="8.25" customHeight="1" x14ac:dyDescent="0.2">
      <c r="B4" s="118"/>
      <c r="C4" s="145"/>
      <c r="D4" s="145"/>
      <c r="E4" s="145"/>
      <c r="F4" s="145"/>
      <c r="G4" s="145"/>
      <c r="H4" s="145"/>
      <c r="I4" s="146"/>
      <c r="J4" s="115"/>
      <c r="K4" s="115"/>
      <c r="L4" s="115"/>
    </row>
    <row r="5" spans="2:12" ht="15.75" x14ac:dyDescent="0.2">
      <c r="B5" s="118"/>
      <c r="C5" s="123" t="s">
        <v>127</v>
      </c>
      <c r="D5" s="123"/>
      <c r="E5" s="124"/>
      <c r="F5" s="124"/>
      <c r="G5" s="124"/>
      <c r="H5" s="124"/>
      <c r="I5" s="118"/>
    </row>
    <row r="6" spans="2:12" ht="15.75" x14ac:dyDescent="0.2">
      <c r="B6" s="118"/>
      <c r="C6" s="125"/>
      <c r="D6" s="125"/>
      <c r="E6" s="118"/>
      <c r="F6" s="118"/>
      <c r="G6" s="118"/>
      <c r="H6" s="118"/>
      <c r="I6" s="118"/>
    </row>
    <row r="7" spans="2:12" x14ac:dyDescent="0.2">
      <c r="B7" s="118"/>
      <c r="C7" s="155" t="s">
        <v>128</v>
      </c>
      <c r="D7" s="155"/>
      <c r="E7" s="132"/>
      <c r="F7" s="132"/>
      <c r="G7" s="126"/>
      <c r="H7" s="137">
        <f>IF(Données!F13&lt;0,0,Données!F13)</f>
        <v>0</v>
      </c>
      <c r="I7" s="118"/>
    </row>
    <row r="8" spans="2:12" x14ac:dyDescent="0.2">
      <c r="B8" s="118"/>
      <c r="C8" s="156" t="s">
        <v>105</v>
      </c>
      <c r="D8" s="156"/>
      <c r="E8" s="129"/>
      <c r="F8" s="129"/>
      <c r="G8" s="127"/>
      <c r="H8" s="137">
        <f>IF(Données!F16&lt;0,0,Données!F16)</f>
        <v>0</v>
      </c>
      <c r="I8" s="118"/>
    </row>
    <row r="9" spans="2:12" x14ac:dyDescent="0.2">
      <c r="B9" s="118"/>
      <c r="C9" s="156" t="s">
        <v>124</v>
      </c>
      <c r="D9" s="156"/>
      <c r="E9" s="129"/>
      <c r="F9" s="129"/>
      <c r="G9" s="127"/>
      <c r="H9" s="137">
        <f>IF(Données!F47&lt;0,0,Données!F47)</f>
        <v>0</v>
      </c>
      <c r="I9" s="118"/>
    </row>
    <row r="10" spans="2:12" x14ac:dyDescent="0.2">
      <c r="B10" s="118"/>
      <c r="C10" s="118" t="s">
        <v>146</v>
      </c>
      <c r="D10" s="118"/>
      <c r="E10" s="133"/>
      <c r="F10" s="133"/>
      <c r="G10" s="134"/>
      <c r="H10" s="137">
        <f>IF(Données!F14&lt;0,Données!F17,IF(Données!F15&lt;0,Données!F14+Données!F17,IF(Données!F14-Données!F15+Données!F17&lt;0,0,Données!F14-Données!F15+Données!F17)))</f>
        <v>0</v>
      </c>
      <c r="I10" s="118"/>
    </row>
    <row r="11" spans="2:12" x14ac:dyDescent="0.2">
      <c r="B11" s="118"/>
      <c r="C11" s="128" t="s">
        <v>3</v>
      </c>
      <c r="D11" s="128"/>
      <c r="E11" s="135"/>
      <c r="F11" s="135"/>
      <c r="G11" s="136"/>
      <c r="H11" s="143">
        <f>SUM(H7:H10)</f>
        <v>0</v>
      </c>
      <c r="I11" s="118"/>
    </row>
    <row r="12" spans="2:12" x14ac:dyDescent="0.2">
      <c r="B12" s="118"/>
      <c r="C12" s="118"/>
      <c r="D12" s="118"/>
      <c r="E12" s="118"/>
      <c r="F12" s="118"/>
      <c r="G12" s="118"/>
      <c r="H12" s="118"/>
      <c r="I12" s="118"/>
    </row>
    <row r="13" spans="2:12" x14ac:dyDescent="0.2">
      <c r="B13" s="118"/>
      <c r="C13" s="163" t="str">
        <f>IF(ROUND(E14*G14*20,0)/20&gt;Données!F32,"Steuer auf dem Vermögensertrag ist höher als der Betrag der kantonalen Einkommenssteuer","")</f>
        <v/>
      </c>
      <c r="D13" s="163"/>
      <c r="E13" s="118"/>
      <c r="F13" s="118"/>
      <c r="G13" s="164"/>
      <c r="H13" s="165"/>
      <c r="I13" s="164"/>
    </row>
    <row r="14" spans="2:12" x14ac:dyDescent="0.2">
      <c r="B14" s="118"/>
      <c r="C14" s="118" t="s">
        <v>147</v>
      </c>
      <c r="D14" s="118"/>
      <c r="E14" s="158">
        <f>TRUNC((H11-Données!F17)/100)*100</f>
        <v>0</v>
      </c>
      <c r="F14" s="159" t="s">
        <v>8</v>
      </c>
      <c r="G14" s="166">
        <f>IF(Données!F32&lt;0,0,IF(Données!F31&lt;=0,0,TRUNC(Données!F32/Données!F31,6)))</f>
        <v>0</v>
      </c>
      <c r="H14" s="138">
        <f>IF(ROUND(E14*G14*20,0)/20&gt;Données!F32,IF(Données!F32&lt;0,0,Données!F32),ROUND(E14*G14*20,0)/20)</f>
        <v>0</v>
      </c>
      <c r="I14" s="118"/>
    </row>
    <row r="15" spans="2:12" x14ac:dyDescent="0.2">
      <c r="B15" s="118"/>
      <c r="C15" s="163" t="str">
        <f>IF(ROUND(E16*G16*20,0)/20&gt;Données!F33,"Kommunale Vermögensssteuer ist höher als der Betrag der kommunalen Einkommenssteuer","")</f>
        <v/>
      </c>
      <c r="D15" s="163"/>
      <c r="E15" s="142"/>
      <c r="F15" s="160"/>
      <c r="G15" s="167"/>
      <c r="H15" s="168"/>
      <c r="I15" s="169"/>
    </row>
    <row r="16" spans="2:12" x14ac:dyDescent="0.2">
      <c r="B16" s="118"/>
      <c r="C16" s="118" t="s">
        <v>148</v>
      </c>
      <c r="D16" s="118"/>
      <c r="E16" s="158">
        <f>TRUNC((H11-Données!F17)/100)*100</f>
        <v>0</v>
      </c>
      <c r="F16" s="159" t="s">
        <v>8</v>
      </c>
      <c r="G16" s="166">
        <f>IF(Données!F33&lt;0,0,IF(Données!F31&lt;=0,0,TRUNC(Données!F33/Données!F31,6)))</f>
        <v>0</v>
      </c>
      <c r="H16" s="139">
        <f>IF(ROUND(E16*G16*20,0)/20&gt;Données!F33,IF(Données!F33&lt;0,0,Données!F33),ROUND(E16*G16*20,0)/20)</f>
        <v>0</v>
      </c>
      <c r="I16" s="118"/>
    </row>
    <row r="17" spans="2:12" x14ac:dyDescent="0.2">
      <c r="B17" s="118"/>
      <c r="C17" s="170"/>
      <c r="D17" s="170"/>
      <c r="E17" s="171"/>
      <c r="F17" s="171"/>
      <c r="G17" s="172"/>
      <c r="H17" s="144">
        <f>+H16+H14</f>
        <v>0</v>
      </c>
      <c r="I17" s="173"/>
      <c r="J17" s="117"/>
      <c r="K17" s="174"/>
    </row>
    <row r="18" spans="2:12" x14ac:dyDescent="0.2">
      <c r="B18" s="118"/>
      <c r="C18" s="118"/>
      <c r="D18" s="118"/>
      <c r="E18" s="118"/>
      <c r="F18" s="118"/>
      <c r="G18" s="118"/>
      <c r="H18" s="118"/>
      <c r="I18" s="118"/>
    </row>
    <row r="19" spans="2:12" x14ac:dyDescent="0.2">
      <c r="B19" s="118"/>
      <c r="C19" s="118"/>
      <c r="D19" s="118"/>
      <c r="E19" s="118"/>
      <c r="F19" s="118"/>
      <c r="G19" s="118"/>
      <c r="H19" s="118"/>
      <c r="I19" s="118"/>
    </row>
    <row r="20" spans="2:12" x14ac:dyDescent="0.2">
      <c r="B20" s="118"/>
      <c r="C20" s="164" t="s">
        <v>129</v>
      </c>
      <c r="D20" s="164"/>
      <c r="E20" s="158">
        <f>Données!F34</f>
        <v>0</v>
      </c>
      <c r="F20" s="159" t="s">
        <v>8</v>
      </c>
      <c r="G20" s="162">
        <f>IF(Données!F34&lt;=0,0,TRUNC(Données!F35/Données!F34,6))</f>
        <v>0</v>
      </c>
      <c r="H20" s="138">
        <f>ROUND(E20*G20*20,0)/20</f>
        <v>0</v>
      </c>
      <c r="I20" s="118"/>
    </row>
    <row r="21" spans="2:12" x14ac:dyDescent="0.2">
      <c r="B21" s="118"/>
      <c r="C21" s="175" t="s">
        <v>130</v>
      </c>
      <c r="D21" s="175"/>
      <c r="E21" s="158">
        <f>Données!F27</f>
        <v>0</v>
      </c>
      <c r="F21" s="159"/>
      <c r="G21" s="176"/>
      <c r="H21" s="121"/>
      <c r="I21" s="118"/>
    </row>
    <row r="22" spans="2:12" x14ac:dyDescent="0.2">
      <c r="B22" s="118"/>
      <c r="C22" s="164" t="s">
        <v>131</v>
      </c>
      <c r="D22" s="164"/>
      <c r="E22" s="158">
        <f>Données!F34</f>
        <v>0</v>
      </c>
      <c r="F22" s="159" t="s">
        <v>8</v>
      </c>
      <c r="G22" s="162">
        <f>IF(Données!F34&lt;=0,0,TRUNC(Données!F36/Données!F34,6))</f>
        <v>0</v>
      </c>
      <c r="H22" s="161">
        <f>ROUND(E22*G22*20,0)/20</f>
        <v>0</v>
      </c>
      <c r="I22" s="118"/>
    </row>
    <row r="23" spans="2:12" x14ac:dyDescent="0.2">
      <c r="B23" s="118"/>
      <c r="C23" s="170"/>
      <c r="D23" s="170"/>
      <c r="E23" s="164"/>
      <c r="F23" s="164"/>
      <c r="G23" s="164"/>
      <c r="H23" s="140">
        <f>SUM(H20:H22)</f>
        <v>0</v>
      </c>
      <c r="I23" s="118"/>
    </row>
    <row r="24" spans="2:12" x14ac:dyDescent="0.2">
      <c r="B24" s="118"/>
      <c r="C24" s="170"/>
      <c r="D24" s="170"/>
      <c r="E24" s="164"/>
      <c r="F24" s="164"/>
      <c r="G24" s="164"/>
      <c r="H24" s="164"/>
      <c r="I24" s="118"/>
    </row>
    <row r="25" spans="2:12" x14ac:dyDescent="0.2">
      <c r="B25" s="118"/>
      <c r="C25" s="177" t="s">
        <v>132</v>
      </c>
      <c r="D25" s="177"/>
      <c r="E25" s="178"/>
      <c r="F25" s="178"/>
      <c r="G25" s="178"/>
      <c r="H25" s="141">
        <f>+H17+H23</f>
        <v>0</v>
      </c>
      <c r="I25" s="118"/>
    </row>
    <row r="26" spans="2:12" x14ac:dyDescent="0.2">
      <c r="B26" s="118"/>
      <c r="C26" s="170" t="str">
        <f>IF(H25&lt;Données!F41,"Keine Ermässigung möglich, da Steuerbelastung weniger als 20% des zu versteuernden Nettoeinkommens beträgt"," ")</f>
        <v xml:space="preserve"> </v>
      </c>
      <c r="D26" s="170"/>
      <c r="E26" s="179" t="str">
        <f>IF(H25&lt;I29,"Pas de droit à la réduction  car la charge fiscale  est inférieur à 20 % du revenu net imposable"," ")</f>
        <v xml:space="preserve"> </v>
      </c>
      <c r="F26" s="179"/>
      <c r="G26" s="179"/>
      <c r="H26" s="179"/>
      <c r="I26" s="179"/>
      <c r="J26" s="180"/>
      <c r="K26" s="180"/>
      <c r="L26" s="180"/>
    </row>
    <row r="27" spans="2:12" x14ac:dyDescent="0.2">
      <c r="B27" s="118"/>
      <c r="C27" s="164" t="s">
        <v>133</v>
      </c>
      <c r="D27" s="164"/>
      <c r="E27" s="118"/>
      <c r="F27" s="118"/>
      <c r="G27" s="118"/>
      <c r="H27" s="138">
        <f>IF(C26=" ",ROUND(H11/2*20,0)/20,0)</f>
        <v>0</v>
      </c>
      <c r="I27" s="118"/>
    </row>
    <row r="28" spans="2:12" ht="14.25" x14ac:dyDescent="0.2">
      <c r="B28" s="118"/>
      <c r="C28" s="164"/>
      <c r="D28" s="164"/>
      <c r="E28" s="118"/>
      <c r="F28" s="118"/>
      <c r="G28" s="118"/>
      <c r="H28" s="181"/>
      <c r="I28" s="118"/>
    </row>
    <row r="29" spans="2:12" x14ac:dyDescent="0.2">
      <c r="B29" s="118"/>
      <c r="C29" s="182" t="s">
        <v>134</v>
      </c>
      <c r="D29" s="182"/>
      <c r="E29" s="118"/>
      <c r="F29" s="118"/>
      <c r="G29" s="118"/>
      <c r="H29" s="141">
        <f>IF(C26=" ", ROUND((H25-H27)*20,0)/20,0)</f>
        <v>0</v>
      </c>
      <c r="I29" s="118"/>
    </row>
    <row r="30" spans="2:12" ht="14.25" customHeight="1" x14ac:dyDescent="0.2">
      <c r="B30" s="118"/>
      <c r="C30" s="170"/>
      <c r="D30" s="170"/>
      <c r="E30" s="118"/>
      <c r="F30" s="118"/>
      <c r="G30" s="118"/>
      <c r="H30" s="164"/>
      <c r="I30" s="118"/>
    </row>
    <row r="31" spans="2:12" x14ac:dyDescent="0.2">
      <c r="B31" s="118"/>
      <c r="C31" s="170"/>
      <c r="D31" s="170"/>
      <c r="E31" s="118"/>
      <c r="F31" s="118"/>
      <c r="G31" s="118"/>
      <c r="H31" s="164"/>
      <c r="I31" s="118"/>
    </row>
    <row r="32" spans="2:12" x14ac:dyDescent="0.2">
      <c r="B32" s="118"/>
      <c r="C32" s="170" t="s">
        <v>135</v>
      </c>
      <c r="D32" s="170"/>
      <c r="E32" s="118"/>
      <c r="F32" s="118"/>
      <c r="G32" s="118"/>
      <c r="H32" s="139">
        <f>IF(E26=" ",H23,0)</f>
        <v>0</v>
      </c>
      <c r="I32" s="118"/>
    </row>
    <row r="33" spans="2:12" x14ac:dyDescent="0.2">
      <c r="B33" s="118"/>
      <c r="C33" s="170" t="s">
        <v>136</v>
      </c>
      <c r="D33" s="170"/>
      <c r="E33" s="118"/>
      <c r="F33" s="118"/>
      <c r="G33" s="118"/>
      <c r="H33" s="139">
        <f>IF(H29&gt;0,H29,0)</f>
        <v>0</v>
      </c>
      <c r="I33" s="118"/>
    </row>
    <row r="34" spans="2:12" x14ac:dyDescent="0.2">
      <c r="B34" s="118"/>
      <c r="C34" s="170" t="s">
        <v>137</v>
      </c>
      <c r="D34" s="170"/>
      <c r="E34" s="118"/>
      <c r="F34" s="118"/>
      <c r="G34" s="118"/>
      <c r="H34" s="144">
        <f>H32-H33</f>
        <v>0</v>
      </c>
      <c r="I34" s="118"/>
    </row>
    <row r="35" spans="2:12" x14ac:dyDescent="0.2">
      <c r="B35" s="118"/>
      <c r="C35" s="118"/>
      <c r="D35" s="118"/>
      <c r="E35" s="118"/>
      <c r="F35" s="118"/>
      <c r="G35" s="118"/>
      <c r="H35" s="118"/>
      <c r="I35" s="118"/>
    </row>
    <row r="36" spans="2:12" ht="15.75" x14ac:dyDescent="0.2">
      <c r="B36" s="118"/>
      <c r="C36" s="123" t="s">
        <v>138</v>
      </c>
      <c r="D36" s="123"/>
      <c r="E36" s="183"/>
      <c r="F36" s="183"/>
      <c r="G36" s="183"/>
      <c r="H36" s="183"/>
      <c r="I36" s="118"/>
    </row>
    <row r="37" spans="2:12" ht="15.75" customHeight="1" x14ac:dyDescent="0.2">
      <c r="B37" s="118"/>
      <c r="C37" s="118"/>
      <c r="D37" s="118"/>
      <c r="E37" s="164"/>
      <c r="F37" s="164"/>
      <c r="G37" s="164"/>
      <c r="H37" s="164"/>
      <c r="I37" s="164"/>
      <c r="J37" s="117"/>
      <c r="K37" s="117"/>
      <c r="L37" s="117"/>
    </row>
    <row r="38" spans="2:12" x14ac:dyDescent="0.2">
      <c r="B38" s="118"/>
      <c r="C38" s="170" t="s">
        <v>139</v>
      </c>
      <c r="D38" s="170"/>
      <c r="E38" s="169">
        <f>IF(C26=" ",ROUND((H23/2)*20,0)/20,0)</f>
        <v>0</v>
      </c>
      <c r="F38" s="169"/>
      <c r="G38" s="162"/>
      <c r="H38" s="118"/>
      <c r="I38" s="169">
        <f>IF(E27=" ",ROUND((L24/2)*20,0)/20,0)</f>
        <v>0</v>
      </c>
      <c r="J38" s="117"/>
      <c r="K38" s="117"/>
      <c r="L38" s="117"/>
    </row>
    <row r="39" spans="2:12" x14ac:dyDescent="0.2">
      <c r="B39" s="118"/>
      <c r="C39" s="164" t="s">
        <v>140</v>
      </c>
      <c r="D39" s="164"/>
      <c r="E39" s="169">
        <f>H34</f>
        <v>0</v>
      </c>
      <c r="F39" s="169"/>
      <c r="G39" s="162"/>
      <c r="H39" s="118"/>
      <c r="I39" s="164"/>
      <c r="J39" s="117"/>
      <c r="K39" s="117"/>
      <c r="L39" s="117"/>
    </row>
    <row r="40" spans="2:12" x14ac:dyDescent="0.2">
      <c r="B40" s="118"/>
      <c r="C40" s="170"/>
      <c r="D40" s="170"/>
      <c r="E40" s="164"/>
      <c r="F40" s="164"/>
      <c r="G40" s="164"/>
      <c r="H40" s="164"/>
      <c r="I40" s="169">
        <f>L35</f>
        <v>0</v>
      </c>
      <c r="J40" s="117"/>
      <c r="K40" s="117"/>
      <c r="L40" s="117"/>
    </row>
    <row r="41" spans="2:12" ht="15" x14ac:dyDescent="0.2">
      <c r="B41" s="118"/>
      <c r="C41" s="184" t="str">
        <f>IF(C29="Excédent",IF(E39&gt;E38,"Die Bedingungen sind erfüllt und die Ermässigung beträgt","Die Ermässigung muss auf die Hälfte der Vermögenssteuer begrenzt werden, nämlich"),"Keine Ermässigung möglich")</f>
        <v>Keine Ermässigung möglich</v>
      </c>
      <c r="D41" s="184"/>
      <c r="E41" s="185"/>
      <c r="F41" s="185"/>
      <c r="G41" s="210">
        <f>ROUND(IF(H29&gt;0,IF(E39&gt;E38,H29,E38))*20,0)/20</f>
        <v>0</v>
      </c>
      <c r="H41" s="210"/>
      <c r="I41" s="164"/>
      <c r="J41" s="117"/>
      <c r="K41" s="117"/>
      <c r="L41" s="117"/>
    </row>
    <row r="42" spans="2:12" ht="15" x14ac:dyDescent="0.2">
      <c r="B42" s="118"/>
      <c r="C42" s="170"/>
      <c r="D42" s="170"/>
      <c r="E42" s="164"/>
      <c r="F42" s="164"/>
      <c r="G42" s="164"/>
      <c r="H42" s="164"/>
      <c r="I42" s="185"/>
      <c r="J42" s="186"/>
      <c r="K42" s="186"/>
      <c r="L42" s="187"/>
    </row>
    <row r="43" spans="2:12" ht="15" x14ac:dyDescent="0.2">
      <c r="B43" s="118"/>
      <c r="C43" s="198" t="s">
        <v>141</v>
      </c>
      <c r="D43" s="188"/>
      <c r="E43" s="183"/>
      <c r="F43" s="183"/>
      <c r="G43" s="183"/>
      <c r="H43" s="183"/>
      <c r="I43" s="164"/>
      <c r="J43" s="117"/>
      <c r="K43" s="117"/>
      <c r="L43" s="117"/>
    </row>
    <row r="44" spans="2:12" x14ac:dyDescent="0.2">
      <c r="B44" s="118"/>
      <c r="C44" s="170"/>
      <c r="D44" s="170"/>
      <c r="E44" s="164"/>
      <c r="F44" s="164"/>
      <c r="G44" s="164"/>
      <c r="H44" s="164"/>
      <c r="I44" s="164"/>
      <c r="J44" s="117"/>
      <c r="K44" s="117"/>
      <c r="L44" s="117"/>
    </row>
    <row r="45" spans="2:12" x14ac:dyDescent="0.2">
      <c r="B45" s="118"/>
      <c r="C45" s="170"/>
      <c r="D45" s="164"/>
      <c r="E45" s="118"/>
      <c r="F45" s="189"/>
      <c r="G45" s="189" t="s">
        <v>152</v>
      </c>
      <c r="H45" s="169"/>
      <c r="I45" s="164"/>
      <c r="J45" s="117"/>
      <c r="K45" s="117"/>
      <c r="L45" s="117"/>
    </row>
    <row r="46" spans="2:12" x14ac:dyDescent="0.2">
      <c r="B46" s="118"/>
      <c r="C46" s="170" t="s">
        <v>150</v>
      </c>
      <c r="D46" s="190">
        <f>G20</f>
        <v>0</v>
      </c>
      <c r="E46" s="191">
        <f>IF(G41&gt;0,ROUND(G41*D46/D48*20,0)/20,0)</f>
        <v>0</v>
      </c>
      <c r="F46" s="191"/>
      <c r="G46" s="191">
        <f>VLOOKUP(Données!D8,Formules!A2:D19,3)</f>
        <v>5000</v>
      </c>
      <c r="H46" s="191">
        <f>IF(E46-G46&lt;0,0,E46-G46)</f>
        <v>0</v>
      </c>
      <c r="I46" s="164"/>
      <c r="K46" s="117"/>
      <c r="L46" s="117"/>
    </row>
    <row r="47" spans="2:12" x14ac:dyDescent="0.2">
      <c r="B47" s="118"/>
      <c r="C47" s="170" t="s">
        <v>151</v>
      </c>
      <c r="D47" s="192">
        <f>G22</f>
        <v>0</v>
      </c>
      <c r="E47" s="191">
        <f>IF(G41&gt;0,ROUND(G41*D47/D48*20,0)/20,0)</f>
        <v>0</v>
      </c>
      <c r="F47" s="191"/>
      <c r="G47" s="193">
        <f>VLOOKUP(Données!D8,Formules!A$2:D$19,4)</f>
        <v>5000</v>
      </c>
      <c r="H47" s="191">
        <f>IF(E47-G47&lt;0,0,E47-G47)</f>
        <v>0</v>
      </c>
      <c r="I47" s="164"/>
    </row>
    <row r="48" spans="2:12" x14ac:dyDescent="0.2">
      <c r="B48" s="118"/>
      <c r="C48" s="170"/>
      <c r="D48" s="194">
        <f>SUM(D46:D47)</f>
        <v>0</v>
      </c>
      <c r="E48" s="195">
        <f>SUM(E46:E47)</f>
        <v>0</v>
      </c>
      <c r="F48" s="195"/>
      <c r="G48" s="195">
        <f>SUM(G46:G47)</f>
        <v>10000</v>
      </c>
      <c r="H48" s="195">
        <f>SUM(H46:H47)</f>
        <v>0</v>
      </c>
      <c r="I48" s="196">
        <f>IF(E46-G46&lt;0,0,E46-G46)</f>
        <v>0</v>
      </c>
    </row>
    <row r="49" spans="2:9" x14ac:dyDescent="0.2">
      <c r="B49" s="118"/>
      <c r="C49" s="118"/>
      <c r="D49" s="118"/>
      <c r="E49" s="118"/>
      <c r="F49" s="118"/>
      <c r="G49" s="118"/>
      <c r="H49" s="118"/>
      <c r="I49" s="196">
        <f>IF(E47-G47&lt;0,0,E47-G47)</f>
        <v>0</v>
      </c>
    </row>
    <row r="50" spans="2:9" x14ac:dyDescent="0.2">
      <c r="B50" s="118"/>
      <c r="C50" s="118"/>
      <c r="D50" s="118"/>
      <c r="E50" s="118"/>
      <c r="F50" s="118"/>
      <c r="G50" s="118"/>
      <c r="H50" s="118"/>
      <c r="I50" s="196">
        <f>SUM(I48:I49)</f>
        <v>0</v>
      </c>
    </row>
  </sheetData>
  <sheetProtection algorithmName="SHA-512" hashValue="WY+XZ4Ag1oFtcgCFZNPKpCaheYl/ZfDqqIIGsuN4hicRsQvlEEz6TduR1+9ISRZPSFvGuyQoaFMsPDfvWA5rnw==" saltValue="kp8AERmghc2yU9Sh4BfU3w==" spinCount="100000" sheet="1" selectLockedCells="1"/>
  <mergeCells count="2">
    <mergeCell ref="G41:H41"/>
    <mergeCell ref="B2:I2"/>
  </mergeCells>
  <dataValidations count="1">
    <dataValidation errorStyle="warning" allowBlank="1" showErrorMessage="1" errorTitle="Erreu" sqref="H14" xr:uid="{00000000-0002-0000-0200-000000000000}"/>
  </dataValidations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B28:F28"/>
  <sheetViews>
    <sheetView workbookViewId="0">
      <selection activeCell="J19" sqref="J19"/>
    </sheetView>
  </sheetViews>
  <sheetFormatPr baseColWidth="10" defaultRowHeight="12.75" x14ac:dyDescent="0.2"/>
  <sheetData>
    <row r="28" spans="2:6" x14ac:dyDescent="0.2">
      <c r="B28" s="201">
        <v>2023</v>
      </c>
      <c r="F28" s="200">
        <v>0.02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W64"/>
  <sheetViews>
    <sheetView showGridLines="0" topLeftCell="A22" zoomScaleNormal="100" workbookViewId="0">
      <selection activeCell="E6" sqref="E6"/>
    </sheetView>
  </sheetViews>
  <sheetFormatPr baseColWidth="10" defaultRowHeight="12" x14ac:dyDescent="0.2"/>
  <cols>
    <col min="1" max="1" width="4.42578125" style="1" customWidth="1"/>
    <col min="2" max="2" width="3.5703125" style="2" customWidth="1"/>
    <col min="3" max="3" width="30.140625" style="2" customWidth="1"/>
    <col min="4" max="4" width="10.28515625" style="2" customWidth="1"/>
    <col min="5" max="5" width="18.5703125" style="2" customWidth="1"/>
    <col min="6" max="6" width="4" style="2" customWidth="1"/>
    <col min="7" max="7" width="9.140625" style="2" customWidth="1"/>
    <col min="8" max="8" width="18.5703125" style="2" customWidth="1"/>
    <col min="9" max="9" width="36.5703125" style="2" customWidth="1"/>
    <col min="10" max="10" width="27" style="2" customWidth="1"/>
    <col min="11" max="11" width="14.140625" style="2" customWidth="1"/>
    <col min="12" max="12" width="15.140625" style="2" customWidth="1"/>
    <col min="13" max="13" width="4.7109375" style="2" customWidth="1"/>
    <col min="14" max="16384" width="11.42578125" style="2"/>
  </cols>
  <sheetData>
    <row r="1" spans="1:17" ht="18" x14ac:dyDescent="0.25">
      <c r="A1" s="219" t="s">
        <v>59</v>
      </c>
      <c r="B1" s="219"/>
      <c r="C1" s="219"/>
      <c r="D1" s="219"/>
      <c r="E1" s="219"/>
      <c r="F1" s="219"/>
      <c r="G1" s="219"/>
      <c r="H1" s="219"/>
      <c r="I1" s="89"/>
      <c r="J1" s="89"/>
      <c r="O1"/>
      <c r="P1"/>
    </row>
    <row r="2" spans="1:17" s="91" customFormat="1" ht="15" customHeight="1" x14ac:dyDescent="0.25">
      <c r="A2" s="220" t="s">
        <v>67</v>
      </c>
      <c r="B2" s="220"/>
      <c r="C2" s="220"/>
      <c r="D2" s="220"/>
      <c r="E2" s="220"/>
      <c r="F2" s="220"/>
      <c r="G2" s="220"/>
      <c r="H2" s="220"/>
      <c r="I2" s="90"/>
      <c r="J2" s="90"/>
    </row>
    <row r="3" spans="1:17" ht="18" x14ac:dyDescent="0.25">
      <c r="A3" s="40" t="s">
        <v>35</v>
      </c>
      <c r="B3" s="40"/>
      <c r="C3" s="8"/>
      <c r="D3" s="45">
        <v>2020</v>
      </c>
      <c r="E3" s="44" t="s">
        <v>53</v>
      </c>
      <c r="F3" s="225"/>
      <c r="G3" s="226"/>
      <c r="H3" s="227"/>
      <c r="I3" s="89"/>
      <c r="J3" s="89"/>
      <c r="O3"/>
      <c r="P3"/>
    </row>
    <row r="4" spans="1:17" ht="18" x14ac:dyDescent="0.25">
      <c r="A4" s="9" t="s">
        <v>20</v>
      </c>
      <c r="B4" s="10"/>
      <c r="C4" s="10"/>
      <c r="D4" s="222"/>
      <c r="E4" s="223"/>
      <c r="F4" s="223"/>
      <c r="G4" s="223"/>
      <c r="H4" s="224"/>
      <c r="I4" s="89"/>
      <c r="J4" s="89"/>
      <c r="O4"/>
      <c r="P4"/>
    </row>
    <row r="5" spans="1:17" ht="18" x14ac:dyDescent="0.25">
      <c r="C5" s="50"/>
      <c r="O5"/>
      <c r="P5"/>
    </row>
    <row r="6" spans="1:17" ht="14.25" x14ac:dyDescent="0.2">
      <c r="A6" s="11" t="s">
        <v>2</v>
      </c>
      <c r="B6" s="12"/>
      <c r="C6" s="12"/>
      <c r="D6" s="12"/>
      <c r="E6" s="12"/>
      <c r="F6" s="12"/>
      <c r="G6" s="46" t="s">
        <v>54</v>
      </c>
      <c r="H6" s="47">
        <f ca="1">TODAY()</f>
        <v>45890</v>
      </c>
      <c r="O6"/>
      <c r="P6"/>
    </row>
    <row r="7" spans="1:17" ht="13.5" thickBot="1" x14ac:dyDescent="0.25">
      <c r="I7" s="221" t="s">
        <v>36</v>
      </c>
      <c r="J7" s="221"/>
      <c r="K7" s="221"/>
      <c r="L7" s="221"/>
      <c r="O7"/>
      <c r="P7"/>
    </row>
    <row r="8" spans="1:17" ht="12.75" x14ac:dyDescent="0.2">
      <c r="A8" s="13">
        <v>1</v>
      </c>
      <c r="B8" s="2" t="s">
        <v>0</v>
      </c>
      <c r="I8" s="86"/>
      <c r="J8" s="65"/>
      <c r="K8" s="65"/>
      <c r="L8" s="66"/>
      <c r="O8"/>
      <c r="P8"/>
      <c r="Q8"/>
    </row>
    <row r="9" spans="1:17" ht="12.75" x14ac:dyDescent="0.2">
      <c r="A9" s="13">
        <v>2</v>
      </c>
      <c r="B9" s="2" t="s">
        <v>1</v>
      </c>
      <c r="I9" s="71" t="s">
        <v>43</v>
      </c>
      <c r="J9" s="7"/>
      <c r="K9" s="100">
        <v>-9000</v>
      </c>
      <c r="L9" s="67">
        <v>1110</v>
      </c>
      <c r="O9"/>
      <c r="P9"/>
      <c r="Q9"/>
    </row>
    <row r="10" spans="1:17" ht="12.75" x14ac:dyDescent="0.2">
      <c r="B10" s="2" t="s">
        <v>52</v>
      </c>
      <c r="I10" s="71" t="s">
        <v>66</v>
      </c>
      <c r="J10" s="7"/>
      <c r="K10" s="100">
        <v>30485</v>
      </c>
      <c r="L10" s="67">
        <v>1210</v>
      </c>
      <c r="O10"/>
      <c r="P10"/>
      <c r="Q10"/>
    </row>
    <row r="11" spans="1:17" ht="12.75" x14ac:dyDescent="0.2">
      <c r="A11" s="13">
        <v>3</v>
      </c>
      <c r="B11" s="2" t="s">
        <v>13</v>
      </c>
      <c r="I11" s="111" t="s">
        <v>81</v>
      </c>
      <c r="J11" s="110"/>
      <c r="K11" s="100">
        <v>1000</v>
      </c>
      <c r="L11" s="67">
        <v>1800</v>
      </c>
      <c r="O11"/>
      <c r="P11"/>
      <c r="Q11"/>
    </row>
    <row r="12" spans="1:17" ht="12.75" x14ac:dyDescent="0.2">
      <c r="I12" s="109" t="s">
        <v>80</v>
      </c>
      <c r="K12" s="100"/>
      <c r="L12" s="54">
        <v>1300</v>
      </c>
      <c r="O12"/>
      <c r="P12"/>
      <c r="Q12"/>
    </row>
    <row r="13" spans="1:17" ht="12.75" x14ac:dyDescent="0.2">
      <c r="D13" s="14"/>
      <c r="E13" s="14"/>
      <c r="F13" s="14"/>
      <c r="G13" s="14"/>
      <c r="I13" s="74" t="s">
        <v>65</v>
      </c>
      <c r="J13" s="75"/>
      <c r="K13" s="100">
        <v>20000</v>
      </c>
      <c r="L13" s="67">
        <v>9300</v>
      </c>
      <c r="O13"/>
      <c r="P13"/>
      <c r="Q13"/>
    </row>
    <row r="14" spans="1:17" ht="14.25" x14ac:dyDescent="0.2">
      <c r="A14" s="11" t="s">
        <v>4</v>
      </c>
      <c r="B14" s="12"/>
      <c r="C14" s="12"/>
      <c r="D14" s="15"/>
      <c r="E14" s="15"/>
      <c r="F14" s="15"/>
      <c r="G14" s="15"/>
      <c r="H14" s="12"/>
      <c r="I14" s="87"/>
      <c r="J14" s="88"/>
      <c r="K14" s="7"/>
      <c r="L14" s="67"/>
      <c r="O14"/>
      <c r="P14"/>
      <c r="Q14"/>
    </row>
    <row r="15" spans="1:17" ht="12.75" x14ac:dyDescent="0.2">
      <c r="I15" s="95" t="s">
        <v>50</v>
      </c>
      <c r="J15" s="96"/>
      <c r="K15" s="96"/>
      <c r="L15" s="97"/>
      <c r="O15"/>
      <c r="P15"/>
      <c r="Q15"/>
    </row>
    <row r="16" spans="1:17" ht="12.75" x14ac:dyDescent="0.2">
      <c r="A16" s="2" t="s">
        <v>33</v>
      </c>
      <c r="I16" s="71"/>
      <c r="J16" s="7"/>
      <c r="K16" s="82"/>
      <c r="L16" s="67"/>
      <c r="O16"/>
      <c r="P16"/>
      <c r="Q16"/>
    </row>
    <row r="17" spans="1:23" ht="12.75" x14ac:dyDescent="0.2">
      <c r="B17" s="2" t="s">
        <v>21</v>
      </c>
      <c r="E17" s="104">
        <f>IF(K9&lt;0,0,K9)</f>
        <v>0</v>
      </c>
      <c r="I17" s="93"/>
      <c r="J17" s="94"/>
      <c r="K17" s="94"/>
      <c r="L17" s="67"/>
      <c r="O17"/>
      <c r="P17"/>
      <c r="Q17"/>
    </row>
    <row r="18" spans="1:23" ht="12.75" x14ac:dyDescent="0.2">
      <c r="B18" s="2" t="s">
        <v>68</v>
      </c>
      <c r="E18" s="104">
        <f>+IF(K12&lt;0,0,K12)</f>
        <v>0</v>
      </c>
      <c r="I18" s="83" t="s">
        <v>62</v>
      </c>
      <c r="J18" s="84"/>
      <c r="K18" s="92">
        <f>VLOOKUP(D3,Formules!A$1:D$19,2)</f>
        <v>5.0000000000000001E-3</v>
      </c>
      <c r="L18" s="67"/>
      <c r="Q18"/>
    </row>
    <row r="19" spans="1:23" ht="12.75" x14ac:dyDescent="0.2">
      <c r="B19" s="2" t="s">
        <v>24</v>
      </c>
      <c r="E19" s="104">
        <f>IF(K44&lt;0,0,K44)</f>
        <v>0</v>
      </c>
      <c r="G19" s="34">
        <f>K18</f>
        <v>5.0000000000000001E-3</v>
      </c>
      <c r="H19" s="16" t="s">
        <v>25</v>
      </c>
      <c r="I19" s="83" t="s">
        <v>27</v>
      </c>
      <c r="J19" s="85"/>
      <c r="K19" s="100"/>
      <c r="L19" s="67" t="s">
        <v>88</v>
      </c>
      <c r="Q19"/>
    </row>
    <row r="20" spans="1:23" ht="12.75" x14ac:dyDescent="0.2">
      <c r="B20" s="2" t="s">
        <v>64</v>
      </c>
      <c r="E20" s="105">
        <f>IF(K10&lt;0,K13,IF(K11&lt;0,K10+K13,IF(K10-K11+K13&lt;0,0,K10-K11+K13)))</f>
        <v>49485</v>
      </c>
      <c r="H20" s="17" t="s">
        <v>26</v>
      </c>
      <c r="I20" s="83" t="s">
        <v>28</v>
      </c>
      <c r="J20" s="85"/>
      <c r="K20" s="100"/>
      <c r="L20" s="67">
        <v>3020</v>
      </c>
      <c r="Q20"/>
    </row>
    <row r="21" spans="1:23" ht="12.75" x14ac:dyDescent="0.2">
      <c r="B21" s="2" t="s">
        <v>3</v>
      </c>
      <c r="E21" s="106">
        <f>SUM(E17:E20)</f>
        <v>49485</v>
      </c>
      <c r="I21" s="83" t="s">
        <v>29</v>
      </c>
      <c r="J21" s="85"/>
      <c r="K21" s="100"/>
      <c r="L21" s="67"/>
      <c r="M21" s="2" t="s">
        <v>91</v>
      </c>
      <c r="Q21"/>
    </row>
    <row r="22" spans="1:23" ht="12.75" x14ac:dyDescent="0.2">
      <c r="E22" s="18"/>
      <c r="F22" s="18"/>
      <c r="G22" s="19" t="s">
        <v>22</v>
      </c>
      <c r="H22" s="20"/>
      <c r="I22" s="71" t="s">
        <v>30</v>
      </c>
      <c r="J22" s="7"/>
      <c r="K22" s="100"/>
      <c r="L22" s="67">
        <v>3600</v>
      </c>
      <c r="Q22"/>
    </row>
    <row r="23" spans="1:23" ht="12.75" x14ac:dyDescent="0.2">
      <c r="G23" s="21" t="s">
        <v>23</v>
      </c>
      <c r="I23" s="71"/>
      <c r="J23" s="7"/>
      <c r="K23" s="7"/>
      <c r="L23" s="67"/>
      <c r="Q23"/>
    </row>
    <row r="24" spans="1:23" ht="12.75" x14ac:dyDescent="0.2">
      <c r="E24" s="112" t="str">
        <f>IF(ROUND(E25*G25*20,0)/20&gt;K30,"Impôt sur rendement fortune supérieur au montnant d'impôt cantonal sur le revenu","")</f>
        <v>Impôt sur rendement fortune supérieur au montnant d'impôt cantonal sur le revenu</v>
      </c>
      <c r="G24" s="21"/>
      <c r="I24" s="71"/>
      <c r="J24" s="7"/>
      <c r="K24" s="7"/>
      <c r="L24" s="67"/>
      <c r="Q24"/>
    </row>
    <row r="25" spans="1:23" ht="12.75" x14ac:dyDescent="0.2">
      <c r="A25" s="2" t="s">
        <v>86</v>
      </c>
      <c r="E25" s="104">
        <f>TRUNC((E21-K13)/100)*100</f>
        <v>29400</v>
      </c>
      <c r="F25" s="22" t="s">
        <v>8</v>
      </c>
      <c r="G25" s="23">
        <f>L30</f>
        <v>3.7816000000000002E-2</v>
      </c>
      <c r="H25" s="4">
        <f>IF(ROUND(E25*G25*20,0)/20&gt;K30,IF(K30&lt;0,0,K30),ROUND(E25*G25*20,0)/20)</f>
        <v>1006.4</v>
      </c>
      <c r="I25" s="79" t="s">
        <v>31</v>
      </c>
      <c r="J25" s="80"/>
      <c r="K25" s="107">
        <f>K19+K20+K21-K22</f>
        <v>0</v>
      </c>
      <c r="L25" s="81"/>
      <c r="Q25"/>
    </row>
    <row r="26" spans="1:23" ht="12.75" x14ac:dyDescent="0.2">
      <c r="A26" s="2"/>
      <c r="E26" s="101" t="str">
        <f>IF(ROUND(E27*G27*20,0)/20&gt;K31,"impôt sur rendement fortune communal supérieur au montant de l'impôt communal sur le revenu","")</f>
        <v>impôt sur rendement fortune communal supérieur au montant de l'impôt communal sur le revenu</v>
      </c>
      <c r="F26" s="22"/>
      <c r="G26" s="23"/>
      <c r="H26" s="4"/>
      <c r="I26" s="98"/>
      <c r="J26" s="41"/>
      <c r="K26" s="99"/>
      <c r="L26" s="67"/>
      <c r="Q26"/>
    </row>
    <row r="27" spans="1:23" x14ac:dyDescent="0.2">
      <c r="A27" s="2" t="s">
        <v>87</v>
      </c>
      <c r="E27" s="104">
        <f>TRUNC((E21-K13)/100)*100</f>
        <v>29400</v>
      </c>
      <c r="F27" s="22" t="s">
        <v>8</v>
      </c>
      <c r="G27" s="23">
        <f>L31</f>
        <v>4.1145000000000001E-2</v>
      </c>
      <c r="H27" s="5">
        <f>IF(ROUND(E27*G27*20,0)/20&gt;K31,IF(K31&lt;0,0,K31),ROUND(E27*G27*20,0)/20)</f>
        <v>1095</v>
      </c>
      <c r="I27" s="71"/>
      <c r="J27" s="7"/>
      <c r="K27" s="7"/>
      <c r="L27" s="67"/>
    </row>
    <row r="28" spans="1:23" x14ac:dyDescent="0.2">
      <c r="G28" s="7"/>
      <c r="H28" s="24">
        <f>SUM(H25:H27)</f>
        <v>2101.4</v>
      </c>
      <c r="I28" s="71"/>
      <c r="J28" s="7"/>
      <c r="K28" s="7"/>
      <c r="L28" s="68" t="s">
        <v>22</v>
      </c>
    </row>
    <row r="29" spans="1:23" x14ac:dyDescent="0.2">
      <c r="G29" s="7"/>
      <c r="H29" s="4"/>
      <c r="I29" s="71" t="s">
        <v>82</v>
      </c>
      <c r="J29" s="7"/>
      <c r="K29" s="42">
        <v>26613</v>
      </c>
      <c r="L29" s="67"/>
      <c r="M29" s="2" t="s">
        <v>89</v>
      </c>
    </row>
    <row r="30" spans="1:23" ht="48" x14ac:dyDescent="0.2">
      <c r="A30" s="2" t="s">
        <v>5</v>
      </c>
      <c r="E30" s="104">
        <f>K33</f>
        <v>8684000</v>
      </c>
      <c r="F30" s="13" t="s">
        <v>8</v>
      </c>
      <c r="G30" s="25">
        <f>L35</f>
        <v>3.0000000000000001E-3</v>
      </c>
      <c r="H30" s="4">
        <f>ROUND(E30*G30*20,0)/20</f>
        <v>26052</v>
      </c>
      <c r="I30" s="72" t="s">
        <v>83</v>
      </c>
      <c r="J30" s="73"/>
      <c r="K30" s="42">
        <v>1006.4</v>
      </c>
      <c r="L30" s="69">
        <f>IF(K30&lt;0,0,IF(K29&lt;=0,0,TRUNC(K30/K29,6)))</f>
        <v>3.7816000000000002E-2</v>
      </c>
      <c r="M30" s="2" t="s">
        <v>90</v>
      </c>
      <c r="W30" s="103"/>
    </row>
    <row r="31" spans="1:23" x14ac:dyDescent="0.2">
      <c r="A31" s="26" t="s">
        <v>32</v>
      </c>
      <c r="E31" s="104">
        <f>K25</f>
        <v>0</v>
      </c>
      <c r="F31" s="13"/>
      <c r="G31" s="6"/>
      <c r="H31" s="4"/>
      <c r="I31" s="71" t="s">
        <v>84</v>
      </c>
      <c r="J31" s="7"/>
      <c r="K31" s="42">
        <v>1095</v>
      </c>
      <c r="L31" s="69">
        <f>IF(K31&lt;0,0,IF(K29&lt;=0,0,TRUNC(K31/K29,6)))</f>
        <v>4.1145000000000001E-2</v>
      </c>
      <c r="M31" s="2" t="s">
        <v>90</v>
      </c>
      <c r="W31" s="103"/>
    </row>
    <row r="32" spans="1:23" x14ac:dyDescent="0.2">
      <c r="A32" s="2" t="s">
        <v>6</v>
      </c>
      <c r="E32" s="104">
        <f>E30</f>
        <v>8684000</v>
      </c>
      <c r="F32" s="13"/>
      <c r="G32" s="25">
        <f>L36</f>
        <v>3.5999999999999999E-3</v>
      </c>
      <c r="H32" s="5">
        <f>ROUND(E32*G32*20,0)/20</f>
        <v>31262.400000000001</v>
      </c>
      <c r="I32" s="71"/>
      <c r="J32" s="7"/>
      <c r="K32" s="7"/>
      <c r="L32" s="67"/>
      <c r="M32" s="2" t="s">
        <v>90</v>
      </c>
    </row>
    <row r="33" spans="1:16" x14ac:dyDescent="0.2">
      <c r="H33" s="24">
        <f>SUM(H30:H32)</f>
        <v>57314.400000000001</v>
      </c>
      <c r="I33" s="71" t="s">
        <v>85</v>
      </c>
      <c r="J33" s="7"/>
      <c r="K33" s="42">
        <v>8684000</v>
      </c>
      <c r="L33" s="68"/>
      <c r="M33" s="2" t="s">
        <v>90</v>
      </c>
    </row>
    <row r="34" spans="1:16" x14ac:dyDescent="0.2">
      <c r="H34" s="4"/>
      <c r="I34" s="74"/>
      <c r="J34" s="75"/>
      <c r="K34" s="78"/>
      <c r="L34" s="67"/>
      <c r="M34" s="2" t="s">
        <v>90</v>
      </c>
    </row>
    <row r="35" spans="1:16" x14ac:dyDescent="0.2">
      <c r="A35" s="27" t="s">
        <v>7</v>
      </c>
      <c r="C35" s="27"/>
      <c r="D35" s="27"/>
      <c r="E35" s="27"/>
      <c r="F35" s="27"/>
      <c r="G35" s="27"/>
      <c r="H35" s="20">
        <f>H28+H33</f>
        <v>59415.8</v>
      </c>
      <c r="I35" s="71" t="s">
        <v>39</v>
      </c>
      <c r="J35" s="7"/>
      <c r="K35" s="42">
        <v>26052</v>
      </c>
      <c r="L35" s="69">
        <f>IF(K33&lt;=0,0,TRUNC(K35/K33,6))</f>
        <v>3.0000000000000001E-3</v>
      </c>
      <c r="M35" s="2" t="s">
        <v>90</v>
      </c>
    </row>
    <row r="36" spans="1:16" ht="15.75" customHeight="1" thickBot="1" x14ac:dyDescent="0.25">
      <c r="B36" s="218" t="str">
        <f>IF(H35&lt;K39,"Pas de droit à la réduction  car la charge fiscale  est inférieur à 20 % du revenu net imposable"," ")</f>
        <v xml:space="preserve"> </v>
      </c>
      <c r="C36" s="218"/>
      <c r="D36" s="218"/>
      <c r="E36" s="218"/>
      <c r="F36" s="218"/>
      <c r="G36" s="218"/>
      <c r="H36" s="218"/>
      <c r="I36" s="76" t="s">
        <v>40</v>
      </c>
      <c r="J36" s="77"/>
      <c r="K36" s="43">
        <v>31262.400000000001</v>
      </c>
      <c r="L36" s="70">
        <f>IF(K33&lt;=0,0,TRUNC(K36/K33,6))</f>
        <v>3.5999999999999999E-3</v>
      </c>
      <c r="M36" s="2" t="s">
        <v>90</v>
      </c>
    </row>
    <row r="37" spans="1:16" x14ac:dyDescent="0.2">
      <c r="A37" s="2" t="s">
        <v>34</v>
      </c>
      <c r="H37" s="5">
        <f>IF(B36=" ",ROUND(E21/2*20,0)/20,0)</f>
        <v>24742.5</v>
      </c>
      <c r="I37" s="63" t="s">
        <v>55</v>
      </c>
      <c r="J37" s="64"/>
      <c r="K37" s="65"/>
      <c r="L37" s="66"/>
    </row>
    <row r="38" spans="1:16" ht="14.25" x14ac:dyDescent="0.35">
      <c r="A38" s="2"/>
      <c r="H38" s="28"/>
      <c r="I38" s="49" t="s">
        <v>44</v>
      </c>
      <c r="K38" s="48">
        <f>K29</f>
        <v>26613</v>
      </c>
      <c r="L38" s="54"/>
      <c r="O38" s="41"/>
      <c r="P38" s="7"/>
    </row>
    <row r="39" spans="1:16" x14ac:dyDescent="0.2">
      <c r="A39" s="32" t="str">
        <f>IF(H39&gt;0,"Excédent", "Ne donne pas droit à la réduction, car charge fiscale insuffisante")</f>
        <v>Excédent</v>
      </c>
      <c r="B39" s="7"/>
      <c r="C39" s="7"/>
      <c r="D39" s="7"/>
      <c r="E39" s="7"/>
      <c r="F39" s="7"/>
      <c r="G39" s="7"/>
      <c r="H39" s="33">
        <f>IF(B36=" ", ROUND((H35-H37)*20,0)/20,0)</f>
        <v>34673.300000000003</v>
      </c>
      <c r="I39" s="49" t="s">
        <v>56</v>
      </c>
      <c r="K39" s="48">
        <f>K38*20%</f>
        <v>5322.6</v>
      </c>
      <c r="L39" s="54"/>
      <c r="O39" s="41"/>
      <c r="P39" s="7"/>
    </row>
    <row r="40" spans="1:16" ht="12.75" thickBot="1" x14ac:dyDescent="0.25">
      <c r="I40" s="49"/>
      <c r="L40" s="54"/>
      <c r="O40" s="41"/>
      <c r="P40" s="7"/>
    </row>
    <row r="41" spans="1:16" x14ac:dyDescent="0.2">
      <c r="I41" s="63" t="s">
        <v>57</v>
      </c>
      <c r="J41" s="64"/>
      <c r="K41" s="65"/>
      <c r="L41" s="66"/>
      <c r="O41" s="41"/>
      <c r="P41" s="7"/>
    </row>
    <row r="42" spans="1:16" x14ac:dyDescent="0.2">
      <c r="A42" s="1" t="s">
        <v>9</v>
      </c>
      <c r="H42" s="53">
        <f>IF(B36=" ",H33,0)</f>
        <v>57314.400000000001</v>
      </c>
      <c r="I42" s="49" t="s">
        <v>72</v>
      </c>
      <c r="J42" s="108"/>
      <c r="K42" s="42"/>
      <c r="L42" s="54"/>
      <c r="M42" s="2" t="s">
        <v>92</v>
      </c>
      <c r="O42" s="41"/>
    </row>
    <row r="43" spans="1:16" x14ac:dyDescent="0.2">
      <c r="A43" s="1" t="s">
        <v>10</v>
      </c>
      <c r="H43" s="5">
        <f>IF(H39&gt;0,H39,0)</f>
        <v>34673.300000000003</v>
      </c>
      <c r="I43" s="49" t="s">
        <v>73</v>
      </c>
      <c r="K43" s="48">
        <f>IF(E31&gt;0,ROUND(E31*G19,0),0)</f>
        <v>0</v>
      </c>
      <c r="L43" s="54"/>
      <c r="O43" s="7"/>
    </row>
    <row r="44" spans="1:16" x14ac:dyDescent="0.2">
      <c r="A44" s="1" t="s">
        <v>11</v>
      </c>
      <c r="H44" s="4">
        <f>H42-H43</f>
        <v>22641.1</v>
      </c>
      <c r="I44" s="49" t="s">
        <v>58</v>
      </c>
      <c r="K44" s="55">
        <f>IF(K43&gt;K42,K42,K43)</f>
        <v>0</v>
      </c>
      <c r="L44" s="54"/>
      <c r="O44" s="7"/>
    </row>
    <row r="45" spans="1:16" x14ac:dyDescent="0.2">
      <c r="I45" s="49"/>
      <c r="L45" s="54"/>
      <c r="O45" s="7"/>
    </row>
    <row r="46" spans="1:16" ht="15" thickBot="1" x14ac:dyDescent="0.25">
      <c r="A46" s="11" t="s">
        <v>12</v>
      </c>
      <c r="B46" s="12"/>
      <c r="C46" s="12"/>
      <c r="D46" s="12"/>
      <c r="E46" s="12"/>
      <c r="F46" s="12"/>
      <c r="G46" s="12"/>
      <c r="H46" s="12"/>
      <c r="I46" s="56" t="s">
        <v>60</v>
      </c>
      <c r="J46" s="57"/>
      <c r="K46" s="57"/>
      <c r="L46" s="58"/>
      <c r="O46" s="7"/>
    </row>
    <row r="47" spans="1:16" x14ac:dyDescent="0.2">
      <c r="A47" s="13">
        <v>3</v>
      </c>
      <c r="B47" s="2" t="s">
        <v>14</v>
      </c>
      <c r="E47" s="4">
        <f>IF(B36=" ",ROUND((H33/2)*20,0)/20,0)</f>
        <v>28657.200000000001</v>
      </c>
      <c r="O47" s="7"/>
    </row>
    <row r="48" spans="1:16" x14ac:dyDescent="0.2">
      <c r="O48" s="7"/>
    </row>
    <row r="49" spans="1:14" x14ac:dyDescent="0.2">
      <c r="B49" s="2" t="s">
        <v>15</v>
      </c>
      <c r="E49" s="4">
        <f>H44</f>
        <v>22641.1</v>
      </c>
      <c r="I49" s="59" t="s">
        <v>51</v>
      </c>
      <c r="J49" s="59"/>
      <c r="K49" s="60"/>
      <c r="L49" s="60"/>
      <c r="M49" s="51"/>
      <c r="N49" s="51"/>
    </row>
    <row r="50" spans="1:14" x14ac:dyDescent="0.2">
      <c r="I50" s="61" t="s">
        <v>47</v>
      </c>
      <c r="J50" s="61"/>
      <c r="K50" s="60"/>
      <c r="L50" s="60"/>
      <c r="M50" s="51"/>
      <c r="N50" s="51"/>
    </row>
    <row r="51" spans="1:14" s="3" customFormat="1" ht="15" x14ac:dyDescent="0.25">
      <c r="A51" s="35" t="str">
        <f>IF(A39="Excédent",IF(E49&gt;E47,"Les conditions sont remplies et la réduction se monte à","La réduction doit se limiter à la moitié de l'impôt sur la fortune, soit"),"Pas de réduction admise")</f>
        <v>La réduction doit se limiter à la moitié de l'impôt sur la fortune, soit</v>
      </c>
      <c r="B51" s="36"/>
      <c r="C51" s="36"/>
      <c r="D51" s="36"/>
      <c r="E51" s="36"/>
      <c r="F51" s="36"/>
      <c r="G51" s="36"/>
      <c r="H51" s="37">
        <f>ROUND(IF(H39&gt;0,IF(E49&gt;E47,H39,E47))*20,0)/20</f>
        <v>28657.200000000001</v>
      </c>
      <c r="I51" s="61" t="s">
        <v>37</v>
      </c>
      <c r="J51" s="61"/>
      <c r="K51" s="60"/>
      <c r="L51" s="60"/>
      <c r="M51" s="51"/>
      <c r="N51" s="51"/>
    </row>
    <row r="52" spans="1:14" x14ac:dyDescent="0.2">
      <c r="I52" s="60" t="s">
        <v>46</v>
      </c>
      <c r="J52" s="60"/>
      <c r="K52" s="62"/>
      <c r="L52" s="60"/>
      <c r="M52" s="51"/>
      <c r="N52" s="51"/>
    </row>
    <row r="53" spans="1:14" ht="14.25" x14ac:dyDescent="0.2">
      <c r="A53" s="11" t="s">
        <v>16</v>
      </c>
      <c r="B53" s="12"/>
      <c r="C53" s="12"/>
      <c r="D53" s="12"/>
      <c r="E53" s="12"/>
      <c r="F53" s="12"/>
      <c r="G53" s="12"/>
      <c r="H53" s="12"/>
      <c r="I53" s="61" t="s">
        <v>38</v>
      </c>
      <c r="J53" s="61"/>
      <c r="K53" s="62"/>
      <c r="L53" s="62"/>
    </row>
    <row r="54" spans="1:14" x14ac:dyDescent="0.2">
      <c r="I54" s="61" t="s">
        <v>48</v>
      </c>
      <c r="J54" s="61"/>
      <c r="K54" s="60"/>
      <c r="L54" s="62"/>
    </row>
    <row r="55" spans="1:14" x14ac:dyDescent="0.2">
      <c r="A55" s="1" t="s">
        <v>17</v>
      </c>
      <c r="E55" s="4">
        <f>H51</f>
        <v>28657.200000000001</v>
      </c>
      <c r="I55" s="60" t="s">
        <v>45</v>
      </c>
      <c r="J55" s="60"/>
      <c r="K55" s="62"/>
      <c r="L55" s="62"/>
    </row>
    <row r="56" spans="1:14" x14ac:dyDescent="0.2">
      <c r="F56" s="217" t="s">
        <v>69</v>
      </c>
      <c r="G56" s="217"/>
      <c r="I56" s="61" t="s">
        <v>49</v>
      </c>
      <c r="J56" s="61"/>
      <c r="K56" s="62"/>
      <c r="L56" s="62"/>
    </row>
    <row r="57" spans="1:14" ht="12.75" x14ac:dyDescent="0.2">
      <c r="C57" s="2" t="s">
        <v>19</v>
      </c>
      <c r="D57" s="29">
        <f>G30</f>
        <v>3.0000000000000001E-3</v>
      </c>
      <c r="E57" s="101">
        <f>IF(E55&gt;0,ROUND(E55*D57/D59*20,0)/20,0)</f>
        <v>13026</v>
      </c>
      <c r="F57" s="211">
        <f>+VLOOKUP(D3,Formules!A$1:D$19,3)</f>
        <v>5000</v>
      </c>
      <c r="G57" s="212"/>
      <c r="H57" s="38">
        <f>IF(E57-F57&lt;0,0,E57-F57)</f>
        <v>8026</v>
      </c>
      <c r="I57" s="61" t="s">
        <v>74</v>
      </c>
      <c r="J57" s="61"/>
      <c r="K57" s="62"/>
      <c r="L57" s="62"/>
    </row>
    <row r="58" spans="1:14" ht="12.75" x14ac:dyDescent="0.2">
      <c r="C58" s="2" t="s">
        <v>18</v>
      </c>
      <c r="D58" s="30">
        <f>G32</f>
        <v>3.5999999999999999E-3</v>
      </c>
      <c r="E58" s="39">
        <f>IF(E55&gt;0,ROUND((E55*D58/D59)*20,0)/20,0)</f>
        <v>15631.2</v>
      </c>
      <c r="F58" s="215">
        <f>+VLOOKUP(D3,Formules!A$1:D$19,4)</f>
        <v>5000</v>
      </c>
      <c r="G58" s="216"/>
      <c r="H58" s="39">
        <f>IF(E58-F58&lt;0,0,E58-F58)</f>
        <v>10631.2</v>
      </c>
      <c r="I58" s="61" t="s">
        <v>75</v>
      </c>
      <c r="J58" s="61"/>
      <c r="K58" s="62"/>
      <c r="L58" s="62"/>
    </row>
    <row r="59" spans="1:14" ht="12.75" x14ac:dyDescent="0.2">
      <c r="D59" s="31">
        <f>SUM(D57:D58)</f>
        <v>6.6E-3</v>
      </c>
      <c r="E59" s="38">
        <f>SUM(E57:E58)</f>
        <v>28657.200000000001</v>
      </c>
      <c r="F59" s="213">
        <f>SUM(F57:F58)</f>
        <v>10000</v>
      </c>
      <c r="G59" s="214"/>
      <c r="H59" s="38">
        <f>SUM(H57:H58)</f>
        <v>18657.2</v>
      </c>
      <c r="I59" s="61" t="s">
        <v>76</v>
      </c>
      <c r="J59" s="60"/>
      <c r="K59" s="62"/>
      <c r="L59" s="62"/>
    </row>
    <row r="60" spans="1:14" x14ac:dyDescent="0.2">
      <c r="I60" s="61" t="s">
        <v>77</v>
      </c>
      <c r="J60" s="61"/>
      <c r="K60" s="62"/>
      <c r="L60" s="62"/>
    </row>
    <row r="61" spans="1:14" x14ac:dyDescent="0.2">
      <c r="I61" s="61" t="s">
        <v>78</v>
      </c>
      <c r="J61" s="59"/>
      <c r="K61" s="59"/>
      <c r="L61" s="59"/>
    </row>
    <row r="62" spans="1:14" x14ac:dyDescent="0.2">
      <c r="I62" s="61" t="s">
        <v>41</v>
      </c>
      <c r="J62" s="59"/>
      <c r="K62" s="59"/>
      <c r="L62" s="59"/>
    </row>
    <row r="63" spans="1:14" x14ac:dyDescent="0.2">
      <c r="I63" s="60" t="s">
        <v>79</v>
      </c>
      <c r="J63" s="59"/>
      <c r="K63" s="59"/>
      <c r="L63" s="59"/>
    </row>
    <row r="64" spans="1:14" x14ac:dyDescent="0.2">
      <c r="I64" s="61" t="s">
        <v>42</v>
      </c>
      <c r="J64" s="59"/>
      <c r="K64" s="59"/>
      <c r="L64" s="59"/>
    </row>
  </sheetData>
  <mergeCells count="10">
    <mergeCell ref="A1:H1"/>
    <mergeCell ref="A2:H2"/>
    <mergeCell ref="I7:L7"/>
    <mergeCell ref="D4:H4"/>
    <mergeCell ref="F3:H3"/>
    <mergeCell ref="F57:G57"/>
    <mergeCell ref="F59:G59"/>
    <mergeCell ref="F58:G58"/>
    <mergeCell ref="F56:G56"/>
    <mergeCell ref="B36:H36"/>
  </mergeCells>
  <phoneticPr fontId="1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8" fitToWidth="2" orientation="landscape" r:id="rId1"/>
  <headerFooter alignWithMargins="0"/>
  <colBreaks count="1" manualBreakCount="1">
    <brk id="8" max="1048575" man="1"/>
  </colBreaks>
  <cellWatches>
    <cellWatch r="D4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Formules</vt:lpstr>
      <vt:lpstr>Données</vt:lpstr>
      <vt:lpstr>Détermination</vt:lpstr>
      <vt:lpstr>intéret capital propre </vt:lpstr>
      <vt:lpstr>1.1.2012</vt:lpstr>
      <vt:lpstr>Détermination!Druckbereich</vt:lpstr>
      <vt:lpstr>Données!Druckbereich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Claudio MINNIG</cp:lastModifiedBy>
  <cp:lastPrinted>2021-11-19T10:24:10Z</cp:lastPrinted>
  <dcterms:created xsi:type="dcterms:W3CDTF">2005-06-07T08:34:29Z</dcterms:created>
  <dcterms:modified xsi:type="dcterms:W3CDTF">2025-08-21T14:01:22Z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-1696795702</vt:i4>
  </property>
  <property fmtid="{D5CDD505-2E9C-101B-9397-08002B2CF9AE}" pid="3" name="_EmailEntryID">
    <vt:lpwstr>00000000D72E14A789A82349AD5E5BEFA9769BF0070064925E1458F28647A552DC6BE383DB2000000000010C000064925E1458F28647A552DC6BE383DB20000283A3CCEC0000</vt:lpwstr>
  </property>
  <property fmtid="{D5CDD505-2E9C-101B-9397-08002B2CF9AE}" pid="4" name="_EmailStoreID0">
    <vt:lpwstr>0000000038A1BB1005E5101AA1BB08002B2A56C20000454D534D44422E444C4C00000000000000001B55FA20AA6611CD9BC800AA002FC45A0C0000004E617468616C69652E4445424F4E534061646D696E2E76732E6368002F6F3D4D41494C2D56532F6F753D45786368616E67652041646D696E69737472617469766520477</vt:lpwstr>
  </property>
  <property fmtid="{D5CDD505-2E9C-101B-9397-08002B2CF9AE}" pid="5" name="_EmailStoreID1">
    <vt:lpwstr>26F7570202846594449424F484632335350444C54292F636E3D526563697069656E74732F636E3D65666663303765373435376334303866623064646666333037653866633733382D4E415444454200E94632F44A00000002000000100000004E0061007400680061006C00690065002E004400450042004F004E0053004000</vt:lpwstr>
  </property>
  <property fmtid="{D5CDD505-2E9C-101B-9397-08002B2CF9AE}" pid="6" name="_EmailStoreID2">
    <vt:lpwstr>610064006D0069006E002E00760073002E006300680000000000</vt:lpwstr>
  </property>
</Properties>
</file>