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1B8787F1-EDDE-45AF-BF80-147D6A08695B}" xr6:coauthVersionLast="47" xr6:coauthVersionMax="47" xr10:uidLastSave="{00000000-0000-0000-0000-000000000000}"/>
  <bookViews>
    <workbookView xWindow="-120" yWindow="-120" windowWidth="29040" windowHeight="15720" tabRatio="541" activeTab="1" xr2:uid="{00000000-000D-0000-FFFF-FFFF00000000}"/>
  </bookViews>
  <sheets>
    <sheet name="Aide" sheetId="32" r:id="rId1"/>
    <sheet name="Formulaire_Fr" sheetId="21" r:id="rId2"/>
    <sheet name="rafraîchissement aide" sheetId="25" state="veryHidden" r:id="rId3"/>
    <sheet name="annexe art.59" sheetId="34" r:id="rId4"/>
    <sheet name="Hilfe" sheetId="33" r:id="rId5"/>
    <sheet name="Formular_De" sheetId="31" r:id="rId6"/>
    <sheet name="Anhang Art.59" sheetId="37" r:id="rId7"/>
    <sheet name="Installations enregistrées" sheetId="35" state="veryHidden" r:id="rId8"/>
    <sheet name="essai formulaire kWh" sheetId="22" state="veryHidden" r:id="rId9"/>
    <sheet name="essai formulaire kWc" sheetId="23" state="veryHidden" r:id="rId10"/>
    <sheet name="data" sheetId="15" state="veryHidden" r:id="rId11"/>
    <sheet name="infos construction formulaire" sheetId="20" state="veryHidden" r:id="rId12"/>
  </sheets>
  <definedNames>
    <definedName name="Formulaires_énergie" localSheetId="5">#REF!</definedName>
    <definedName name="Formulaires_énergie">#REF!</definedName>
    <definedName name="Formulaires_énergie_Vaud" localSheetId="5">#REF!</definedName>
    <definedName name="Formulaires_énergie_Vaud">#REF!</definedName>
    <definedName name="_xlnm.Print_Titles" localSheetId="1">Formulaire_Fr!$1:$10</definedName>
    <definedName name="_xlnm.Print_Titles" localSheetId="5">Formular_De!$1:$10</definedName>
    <definedName name="_xlnm.Print_Area" localSheetId="0">Aide!$A$1:$T$70</definedName>
    <definedName name="_xlnm.Print_Area" localSheetId="6">'Anhang Art.59'!$A$1:$AI$64</definedName>
    <definedName name="_xlnm.Print_Area" localSheetId="3">'annexe art.59'!$A$1:$AI$64</definedName>
    <definedName name="_xlnm.Print_Area" localSheetId="1">Formulaire_Fr!$A$1:$AI$208</definedName>
    <definedName name="_xlnm.Print_Area" localSheetId="5">Formular_De!$A$1:$AI$211</definedName>
    <definedName name="_xlnm.Print_Area" localSheetId="4">Hilfe!$A$1:$T$71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9" i="31" l="1"/>
  <c r="AE29" i="21"/>
  <c r="AK106" i="21"/>
  <c r="AP117" i="21" s="1"/>
  <c r="AP132" i="21" l="1"/>
  <c r="AJ121" i="31"/>
  <c r="AJ120" i="31"/>
  <c r="AK119" i="21"/>
  <c r="AK118" i="21"/>
  <c r="O108" i="21" l="1"/>
  <c r="O109" i="31"/>
  <c r="AK107" i="31" l="1"/>
  <c r="D147" i="31"/>
  <c r="D145" i="21"/>
  <c r="AD133" i="21"/>
  <c r="H18" i="34"/>
  <c r="J18" i="34"/>
  <c r="L18" i="34"/>
  <c r="N18" i="34"/>
  <c r="P18" i="34"/>
  <c r="R18" i="34"/>
  <c r="T18" i="34"/>
  <c r="V18" i="34"/>
  <c r="X18" i="34"/>
  <c r="Z18" i="34"/>
  <c r="AB18" i="34"/>
  <c r="F18" i="34"/>
  <c r="W14" i="34"/>
  <c r="W14" i="37"/>
  <c r="F9" i="37"/>
  <c r="AE7" i="37"/>
  <c r="U7" i="37"/>
  <c r="F7" i="37"/>
  <c r="AD36" i="37"/>
  <c r="H18" i="37"/>
  <c r="J18" i="37"/>
  <c r="L18" i="37"/>
  <c r="N18" i="37"/>
  <c r="P18" i="37"/>
  <c r="R18" i="37"/>
  <c r="T18" i="37"/>
  <c r="V18" i="37"/>
  <c r="X18" i="37"/>
  <c r="Z18" i="37"/>
  <c r="AB18" i="37"/>
  <c r="F18" i="37"/>
  <c r="AN44" i="37"/>
  <c r="AP44" i="37" s="1"/>
  <c r="AN43" i="37"/>
  <c r="AP43" i="37" s="1"/>
  <c r="AN42" i="37"/>
  <c r="AP42" i="37" s="1"/>
  <c r="AN41" i="37"/>
  <c r="AP41" i="37" s="1"/>
  <c r="AD35" i="37"/>
  <c r="AD17" i="37"/>
  <c r="AP134" i="31" l="1"/>
  <c r="AP119" i="31"/>
  <c r="AP45" i="37"/>
  <c r="AN21" i="37"/>
  <c r="AP21" i="37" s="1"/>
  <c r="AD18" i="37"/>
  <c r="AN20" i="37"/>
  <c r="AP20" i="37" s="1"/>
  <c r="AN18" i="37"/>
  <c r="AP18" i="37" s="1"/>
  <c r="AN19" i="37"/>
  <c r="AP19" i="37" s="1"/>
  <c r="O152" i="21"/>
  <c r="C173" i="31"/>
  <c r="AD8" i="35"/>
  <c r="AD9" i="35" s="1"/>
  <c r="F9" i="34"/>
  <c r="AE7" i="34"/>
  <c r="U7" i="34"/>
  <c r="F7" i="34"/>
  <c r="AN44" i="34"/>
  <c r="AP44" i="34" s="1"/>
  <c r="AN43" i="34"/>
  <c r="AP43" i="34" s="1"/>
  <c r="AN42" i="34"/>
  <c r="AP42" i="34" s="1"/>
  <c r="AN41" i="34"/>
  <c r="AP41" i="34" s="1"/>
  <c r="AD35" i="34"/>
  <c r="AD17" i="34"/>
  <c r="BD89" i="31"/>
  <c r="BA128" i="31"/>
  <c r="AZ128" i="31"/>
  <c r="BA126" i="31"/>
  <c r="AZ126" i="31"/>
  <c r="BA124" i="31"/>
  <c r="AZ124" i="31"/>
  <c r="BA122" i="31"/>
  <c r="AZ122" i="31"/>
  <c r="BA117" i="31"/>
  <c r="AZ117" i="31"/>
  <c r="BA115" i="31"/>
  <c r="AZ115" i="31"/>
  <c r="BA113" i="31"/>
  <c r="AZ113" i="31"/>
  <c r="BA111" i="31"/>
  <c r="AZ111" i="31"/>
  <c r="BA104" i="31"/>
  <c r="AZ104" i="31"/>
  <c r="BA102" i="31"/>
  <c r="AZ102" i="31"/>
  <c r="BA100" i="31"/>
  <c r="AZ100" i="31"/>
  <c r="BA98" i="31"/>
  <c r="AZ98" i="31"/>
  <c r="BD88" i="31"/>
  <c r="BD96" i="31" s="1"/>
  <c r="BD88" i="21"/>
  <c r="BE127" i="21" s="1"/>
  <c r="BD87" i="21"/>
  <c r="BD126" i="21" s="1"/>
  <c r="BA126" i="21"/>
  <c r="AZ126" i="21"/>
  <c r="BA124" i="21"/>
  <c r="AZ124" i="21"/>
  <c r="BA122" i="21"/>
  <c r="AZ122" i="21"/>
  <c r="BA120" i="21"/>
  <c r="AZ120" i="21"/>
  <c r="BA115" i="21"/>
  <c r="AZ115" i="21"/>
  <c r="BA113" i="21"/>
  <c r="AZ113" i="21"/>
  <c r="BA111" i="21"/>
  <c r="AZ111" i="21"/>
  <c r="BA109" i="21"/>
  <c r="AZ109" i="21"/>
  <c r="BA103" i="21"/>
  <c r="AZ103" i="21"/>
  <c r="BA101" i="21"/>
  <c r="AZ101" i="21"/>
  <c r="BA99" i="21"/>
  <c r="AZ99" i="21"/>
  <c r="BA97" i="21"/>
  <c r="AZ97" i="21"/>
  <c r="AC76" i="31"/>
  <c r="B139" i="31"/>
  <c r="E34" i="31"/>
  <c r="M40" i="21"/>
  <c r="M41" i="31"/>
  <c r="AC53" i="31"/>
  <c r="AD36" i="34" l="1"/>
  <c r="AP45" i="34" s="1"/>
  <c r="AD19" i="37"/>
  <c r="AP22" i="37" s="1"/>
  <c r="AN19" i="34"/>
  <c r="AP19" i="34" s="1"/>
  <c r="BB117" i="31"/>
  <c r="BB113" i="31"/>
  <c r="BB98" i="31"/>
  <c r="BB111" i="31"/>
  <c r="BB122" i="31"/>
  <c r="BB100" i="31"/>
  <c r="BB124" i="31"/>
  <c r="BB102" i="31"/>
  <c r="BB128" i="31"/>
  <c r="BG115" i="31"/>
  <c r="BB111" i="21"/>
  <c r="BB124" i="21"/>
  <c r="BB99" i="21"/>
  <c r="BB120" i="21"/>
  <c r="BB126" i="21"/>
  <c r="BB97" i="21"/>
  <c r="BB122" i="21"/>
  <c r="BB115" i="21"/>
  <c r="BB109" i="21"/>
  <c r="BB103" i="21"/>
  <c r="AN20" i="34"/>
  <c r="AP20" i="34" s="1"/>
  <c r="AN21" i="34"/>
  <c r="AP21" i="34" s="1"/>
  <c r="AN18" i="34"/>
  <c r="AP18" i="34" s="1"/>
  <c r="AD18" i="34"/>
  <c r="BG102" i="31"/>
  <c r="BG100" i="31"/>
  <c r="BG126" i="31"/>
  <c r="BE115" i="31"/>
  <c r="BE116" i="31"/>
  <c r="BE111" i="31"/>
  <c r="BG128" i="31"/>
  <c r="BE104" i="21"/>
  <c r="BE114" i="21"/>
  <c r="BG111" i="31"/>
  <c r="BE96" i="31"/>
  <c r="BF96" i="31" s="1"/>
  <c r="BE118" i="31"/>
  <c r="BE127" i="31"/>
  <c r="BG113" i="31"/>
  <c r="BG104" i="31"/>
  <c r="BE105" i="31"/>
  <c r="BE113" i="31"/>
  <c r="BE117" i="31" s="1"/>
  <c r="BE120" i="31"/>
  <c r="BG117" i="31"/>
  <c r="BE106" i="31"/>
  <c r="BG122" i="31"/>
  <c r="BG98" i="31"/>
  <c r="BG124" i="31"/>
  <c r="BD108" i="31"/>
  <c r="BD101" i="31"/>
  <c r="BD127" i="31"/>
  <c r="BD112" i="31"/>
  <c r="BD103" i="31"/>
  <c r="BD113" i="31"/>
  <c r="BD121" i="31"/>
  <c r="BD129" i="31"/>
  <c r="BD126" i="31"/>
  <c r="BD111" i="31"/>
  <c r="BD120" i="31"/>
  <c r="BD104" i="31"/>
  <c r="BD114" i="31"/>
  <c r="BD122" i="31"/>
  <c r="BD130" i="31"/>
  <c r="BD100" i="31"/>
  <c r="BD119" i="31"/>
  <c r="BD102" i="31"/>
  <c r="BD128" i="31"/>
  <c r="BD97" i="31"/>
  <c r="BD105" i="31"/>
  <c r="BD115" i="31"/>
  <c r="BD123" i="31"/>
  <c r="BD118" i="31"/>
  <c r="BD98" i="31"/>
  <c r="BD106" i="31"/>
  <c r="BD116" i="31"/>
  <c r="BD124" i="31"/>
  <c r="BD99" i="31"/>
  <c r="BD107" i="31"/>
  <c r="BD117" i="31"/>
  <c r="BD125" i="31"/>
  <c r="BE95" i="21"/>
  <c r="BE118" i="21"/>
  <c r="BE102" i="21"/>
  <c r="BE119" i="21"/>
  <c r="BE98" i="21"/>
  <c r="BE99" i="21"/>
  <c r="BE103" i="21" s="1"/>
  <c r="BE122" i="21"/>
  <c r="BE126" i="21" s="1"/>
  <c r="BF126" i="21" s="1"/>
  <c r="BE109" i="21"/>
  <c r="BE123" i="21"/>
  <c r="BG111" i="21"/>
  <c r="BG113" i="21"/>
  <c r="BE110" i="21"/>
  <c r="BE113" i="21"/>
  <c r="BG115" i="21"/>
  <c r="BG97" i="21"/>
  <c r="BE100" i="21"/>
  <c r="BE124" i="21"/>
  <c r="BG122" i="21"/>
  <c r="BE106" i="21"/>
  <c r="BE121" i="21"/>
  <c r="BG101" i="21"/>
  <c r="BG124" i="21"/>
  <c r="BG120" i="21"/>
  <c r="BE105" i="21"/>
  <c r="BE120" i="21"/>
  <c r="BG99" i="21"/>
  <c r="BE107" i="21"/>
  <c r="BE111" i="21"/>
  <c r="BE115" i="21" s="1"/>
  <c r="BE116" i="21"/>
  <c r="BG103" i="21"/>
  <c r="BG126" i="21"/>
  <c r="BE96" i="21"/>
  <c r="BE97" i="21"/>
  <c r="BE101" i="21"/>
  <c r="BE112" i="21"/>
  <c r="BE117" i="21"/>
  <c r="BE128" i="21"/>
  <c r="BG109" i="21"/>
  <c r="BD127" i="21"/>
  <c r="BF127" i="21" s="1"/>
  <c r="BD120" i="21"/>
  <c r="BD96" i="21"/>
  <c r="BD97" i="21"/>
  <c r="BD105" i="21"/>
  <c r="BD114" i="21"/>
  <c r="BD122" i="21"/>
  <c r="BD111" i="21"/>
  <c r="BD95" i="21"/>
  <c r="BD102" i="21"/>
  <c r="BD103" i="21"/>
  <c r="BD121" i="21"/>
  <c r="BD115" i="21"/>
  <c r="BD99" i="21"/>
  <c r="BD107" i="21"/>
  <c r="BD116" i="21"/>
  <c r="BD124" i="21"/>
  <c r="BD128" i="21"/>
  <c r="BD113" i="21"/>
  <c r="BD98" i="21"/>
  <c r="BD123" i="21"/>
  <c r="BD100" i="21"/>
  <c r="BD109" i="21"/>
  <c r="BD117" i="21"/>
  <c r="BD125" i="21"/>
  <c r="BD119" i="21"/>
  <c r="BD112" i="21"/>
  <c r="BD104" i="21"/>
  <c r="BD106" i="21"/>
  <c r="BD101" i="21"/>
  <c r="BD110" i="21"/>
  <c r="BD118" i="21"/>
  <c r="BE112" i="31"/>
  <c r="BE97" i="31"/>
  <c r="BE108" i="31"/>
  <c r="BE100" i="31"/>
  <c r="BE104" i="31" s="1"/>
  <c r="BE122" i="31"/>
  <c r="BB115" i="31"/>
  <c r="BE99" i="31"/>
  <c r="BF99" i="31" s="1"/>
  <c r="BE102" i="31"/>
  <c r="BB104" i="31"/>
  <c r="BE121" i="31"/>
  <c r="BE124" i="31"/>
  <c r="BE128" i="31" s="1"/>
  <c r="BB126" i="31"/>
  <c r="BE129" i="31"/>
  <c r="BE101" i="31"/>
  <c r="BE119" i="31"/>
  <c r="BE123" i="31"/>
  <c r="BE126" i="31"/>
  <c r="BE114" i="31"/>
  <c r="BE130" i="31"/>
  <c r="BE98" i="31"/>
  <c r="BE103" i="31"/>
  <c r="BE107" i="31"/>
  <c r="BE125" i="31"/>
  <c r="BE125" i="21"/>
  <c r="BB101" i="21"/>
  <c r="BB113" i="21"/>
  <c r="AC71" i="31"/>
  <c r="Y38" i="31"/>
  <c r="AK49" i="31" s="1"/>
  <c r="C88" i="31"/>
  <c r="Y75" i="31"/>
  <c r="AE86" i="31"/>
  <c r="N86" i="31"/>
  <c r="BF108" i="31" l="1"/>
  <c r="AD19" i="34"/>
  <c r="AP22" i="34" s="1"/>
  <c r="BF103" i="31"/>
  <c r="BF115" i="31"/>
  <c r="BF126" i="31"/>
  <c r="BF129" i="31"/>
  <c r="BF117" i="31"/>
  <c r="BF127" i="31"/>
  <c r="BF116" i="31"/>
  <c r="BF125" i="31"/>
  <c r="BF119" i="31"/>
  <c r="BF118" i="31"/>
  <c r="BF130" i="31"/>
  <c r="BF101" i="31"/>
  <c r="BF98" i="31"/>
  <c r="BF128" i="31"/>
  <c r="BF97" i="31"/>
  <c r="BF107" i="31"/>
  <c r="BF112" i="31"/>
  <c r="BF111" i="31"/>
  <c r="BF120" i="31"/>
  <c r="BF106" i="31"/>
  <c r="BF118" i="21"/>
  <c r="BF122" i="21"/>
  <c r="BF104" i="21"/>
  <c r="BF124" i="21"/>
  <c r="BF95" i="21"/>
  <c r="BF121" i="21"/>
  <c r="BF99" i="21"/>
  <c r="BF120" i="21"/>
  <c r="BF114" i="21"/>
  <c r="BF128" i="21"/>
  <c r="BF116" i="21"/>
  <c r="BF119" i="21"/>
  <c r="BF110" i="21"/>
  <c r="BF117" i="21"/>
  <c r="BF123" i="21"/>
  <c r="BF102" i="21"/>
  <c r="BF112" i="21"/>
  <c r="BF111" i="21"/>
  <c r="BF113" i="31"/>
  <c r="BF105" i="31"/>
  <c r="BF114" i="31"/>
  <c r="BF122" i="31"/>
  <c r="BF121" i="31"/>
  <c r="BF123" i="31"/>
  <c r="BF102" i="31"/>
  <c r="BF104" i="31"/>
  <c r="BF109" i="21"/>
  <c r="BF98" i="21"/>
  <c r="BF113" i="21"/>
  <c r="BF103" i="21"/>
  <c r="BF97" i="21"/>
  <c r="BF96" i="21"/>
  <c r="BF100" i="21"/>
  <c r="BF107" i="21"/>
  <c r="BF106" i="21"/>
  <c r="BF115" i="21"/>
  <c r="BF101" i="21"/>
  <c r="BF105" i="21"/>
  <c r="BF125" i="21"/>
  <c r="BF100" i="31"/>
  <c r="BF124" i="31"/>
  <c r="AK38" i="31"/>
  <c r="W79" i="31"/>
  <c r="Y121" i="31"/>
  <c r="BD90" i="31" l="1"/>
  <c r="N117" i="31" s="1"/>
  <c r="B116" i="31" s="1"/>
  <c r="BD89" i="21"/>
  <c r="L115" i="21" s="1"/>
  <c r="B114" i="21" s="1"/>
  <c r="AC52" i="21"/>
  <c r="AP130" i="21" l="1"/>
  <c r="AP115" i="21"/>
  <c r="D149" i="31"/>
  <c r="R117" i="31"/>
  <c r="C50" i="31" l="1"/>
  <c r="AC36" i="31"/>
  <c r="D49" i="31"/>
  <c r="S23" i="31"/>
  <c r="AH12" i="31"/>
  <c r="AP175" i="31" l="1"/>
  <c r="AN161" i="31"/>
  <c r="O158" i="31"/>
  <c r="AN152" i="31"/>
  <c r="AP152" i="31" s="1"/>
  <c r="O157" i="31"/>
  <c r="AN151" i="31"/>
  <c r="AP151" i="31" s="1"/>
  <c r="O156" i="31"/>
  <c r="AN150" i="31"/>
  <c r="AP150" i="31" s="1"/>
  <c r="O155" i="31"/>
  <c r="AN149" i="31"/>
  <c r="AP149" i="31" s="1"/>
  <c r="AB136" i="31"/>
  <c r="Z136" i="31"/>
  <c r="X136" i="31"/>
  <c r="V136" i="31"/>
  <c r="T136" i="31"/>
  <c r="R136" i="31"/>
  <c r="P136" i="31"/>
  <c r="N136" i="31"/>
  <c r="L136" i="31"/>
  <c r="J136" i="31"/>
  <c r="H136" i="31"/>
  <c r="F136" i="31"/>
  <c r="AD135" i="31"/>
  <c r="AD136" i="31" s="1"/>
  <c r="U121" i="31"/>
  <c r="AP130" i="31" s="1"/>
  <c r="AP131" i="31" s="1"/>
  <c r="O107" i="31"/>
  <c r="AL105" i="31"/>
  <c r="AK105" i="31"/>
  <c r="AE103" i="31"/>
  <c r="AL103" i="31" s="1"/>
  <c r="AP136" i="31" s="1"/>
  <c r="AK117" i="31" s="1"/>
  <c r="AN167" i="31" s="1"/>
  <c r="N103" i="31"/>
  <c r="AK103" i="31" s="1"/>
  <c r="AL91" i="31"/>
  <c r="AK91" i="31"/>
  <c r="AL88" i="31"/>
  <c r="AN163" i="31" s="1"/>
  <c r="AK88" i="31"/>
  <c r="AK66" i="31"/>
  <c r="AC61" i="31"/>
  <c r="AN160" i="31" s="1"/>
  <c r="AN159" i="31"/>
  <c r="AP32" i="31"/>
  <c r="AP34" i="31" s="1"/>
  <c r="AP31" i="31"/>
  <c r="AP30" i="31"/>
  <c r="AP29" i="31"/>
  <c r="AK29" i="31"/>
  <c r="X29" i="31" s="1"/>
  <c r="O23" i="31"/>
  <c r="AP160" i="31" l="1"/>
  <c r="AO27" i="37"/>
  <c r="AQ27" i="37" s="1"/>
  <c r="AO50" i="37"/>
  <c r="AQ50" i="37" s="1"/>
  <c r="AS50" i="37" s="1"/>
  <c r="AP159" i="31"/>
  <c r="AO26" i="37"/>
  <c r="AQ26" i="37" s="1"/>
  <c r="AO49" i="37"/>
  <c r="AQ49" i="37" s="1"/>
  <c r="AS49" i="37" s="1"/>
  <c r="AO28" i="37"/>
  <c r="AQ28" i="37" s="1"/>
  <c r="AO51" i="37"/>
  <c r="AQ51" i="37" s="1"/>
  <c r="AO34" i="37"/>
  <c r="AO57" i="37"/>
  <c r="AO53" i="37"/>
  <c r="AO30" i="37"/>
  <c r="AP132" i="31"/>
  <c r="AP133" i="31" s="1"/>
  <c r="AP117" i="31"/>
  <c r="AP118" i="31" s="1"/>
  <c r="AP120" i="31" s="1"/>
  <c r="B68" i="31"/>
  <c r="B67" i="31"/>
  <c r="Y26" i="31"/>
  <c r="AP113" i="31"/>
  <c r="AP114" i="31" s="1"/>
  <c r="U122" i="31"/>
  <c r="O159" i="31"/>
  <c r="AR163" i="31"/>
  <c r="AR167" i="31"/>
  <c r="AC90" i="31"/>
  <c r="AN162" i="31"/>
  <c r="AP161" i="31"/>
  <c r="AR115" i="31"/>
  <c r="AR116" i="31" s="1"/>
  <c r="AC49" i="31"/>
  <c r="AP27" i="31"/>
  <c r="T158" i="31"/>
  <c r="AB158" i="31" s="1"/>
  <c r="T156" i="31"/>
  <c r="AB156" i="31" s="1"/>
  <c r="T157" i="31"/>
  <c r="AB157" i="31" s="1"/>
  <c r="T155" i="31"/>
  <c r="AB155" i="31" s="1"/>
  <c r="N111" i="31"/>
  <c r="B137" i="21"/>
  <c r="O106" i="21"/>
  <c r="AR162" i="31" l="1"/>
  <c r="AP162" i="31" s="1"/>
  <c r="AO52" i="37"/>
  <c r="AO29" i="37"/>
  <c r="AK114" i="31"/>
  <c r="AN164" i="31" s="1"/>
  <c r="AK34" i="31"/>
  <c r="AC34" i="31" s="1"/>
  <c r="AN158" i="31" s="1"/>
  <c r="AP135" i="31"/>
  <c r="AK116" i="31" s="1"/>
  <c r="AP116" i="31"/>
  <c r="AP121" i="31" s="1"/>
  <c r="AK115" i="31" s="1"/>
  <c r="AN165" i="31" s="1"/>
  <c r="AJ158" i="31"/>
  <c r="AB161" i="31"/>
  <c r="AB159" i="31"/>
  <c r="AP171" i="31" s="1"/>
  <c r="AP115" i="31"/>
  <c r="AL104" i="21"/>
  <c r="AK104" i="21"/>
  <c r="AL90" i="21"/>
  <c r="AK90" i="21"/>
  <c r="AP158" i="31" l="1"/>
  <c r="AT158" i="31" s="1"/>
  <c r="AO48" i="37"/>
  <c r="AQ48" i="37" s="1"/>
  <c r="AS48" i="37" s="1"/>
  <c r="AU48" i="37" s="1"/>
  <c r="AO25" i="37"/>
  <c r="AQ25" i="37" s="1"/>
  <c r="AU25" i="37" s="1"/>
  <c r="AR165" i="31"/>
  <c r="AO32" i="37"/>
  <c r="AO55" i="37"/>
  <c r="AR164" i="31"/>
  <c r="AO54" i="37"/>
  <c r="AO31" i="37"/>
  <c r="AN166" i="31"/>
  <c r="AK118" i="31"/>
  <c r="AC126" i="31" s="1"/>
  <c r="AP164" i="31" l="1"/>
  <c r="AV161" i="31"/>
  <c r="AO56" i="37"/>
  <c r="AO33" i="37"/>
  <c r="AR166" i="31"/>
  <c r="AP166" i="31" s="1"/>
  <c r="N109" i="21"/>
  <c r="AJ164" i="21"/>
  <c r="AP172" i="21"/>
  <c r="C170" i="21"/>
  <c r="AT161" i="31" l="1"/>
  <c r="AP168" i="31" s="1"/>
  <c r="AJ159" i="31" s="1"/>
  <c r="AJ160" i="31" s="1"/>
  <c r="AP169" i="31" l="1"/>
  <c r="AP172" i="31" s="1"/>
  <c r="K138" i="31"/>
  <c r="B164" i="31" s="1"/>
  <c r="P115" i="21"/>
  <c r="Y119" i="21"/>
  <c r="AB162" i="31" l="1"/>
  <c r="K139" i="31"/>
  <c r="B167" i="31"/>
  <c r="AC70" i="21"/>
  <c r="AP131" i="21" l="1"/>
  <c r="AP116" i="21"/>
  <c r="E33" i="21"/>
  <c r="U119" i="21" l="1"/>
  <c r="AP111" i="21" l="1"/>
  <c r="AP112" i="21" s="1"/>
  <c r="AP128" i="21"/>
  <c r="AP129" i="21" s="1"/>
  <c r="D49" i="21"/>
  <c r="AN158" i="21" l="1"/>
  <c r="AO28" i="34" l="1"/>
  <c r="AO51" i="34"/>
  <c r="W78" i="21"/>
  <c r="O154" i="21" l="1"/>
  <c r="O155" i="21"/>
  <c r="O153" i="21"/>
  <c r="S23" i="21" l="1"/>
  <c r="AC37" i="21"/>
  <c r="AK48" i="21" s="1"/>
  <c r="AK37" i="21" l="1"/>
  <c r="AN156" i="21"/>
  <c r="AE85" i="21"/>
  <c r="N85" i="21"/>
  <c r="AK87" i="21" s="1"/>
  <c r="AN159" i="21" s="1"/>
  <c r="O156" i="21"/>
  <c r="AE102" i="21"/>
  <c r="AL102" i="21" s="1"/>
  <c r="AP134" i="21" s="1"/>
  <c r="N102" i="21"/>
  <c r="AD134" i="21"/>
  <c r="F134" i="21"/>
  <c r="H134" i="21"/>
  <c r="J134" i="21"/>
  <c r="L134" i="21"/>
  <c r="N134" i="21"/>
  <c r="P134" i="21"/>
  <c r="R134" i="21"/>
  <c r="T134" i="21"/>
  <c r="V134" i="21"/>
  <c r="X134" i="21"/>
  <c r="Z134" i="21"/>
  <c r="AB134" i="21"/>
  <c r="U120" i="21"/>
  <c r="AB75" i="21"/>
  <c r="Y74" i="21"/>
  <c r="AS52" i="37" l="1"/>
  <c r="AS29" i="37"/>
  <c r="AJ155" i="21"/>
  <c r="AO29" i="34"/>
  <c r="AO52" i="34"/>
  <c r="AO26" i="34"/>
  <c r="AQ26" i="34" s="1"/>
  <c r="AO49" i="34"/>
  <c r="AQ49" i="34" s="1"/>
  <c r="AS49" i="34" s="1"/>
  <c r="AC48" i="21"/>
  <c r="T155" i="21"/>
  <c r="AB155" i="21" s="1"/>
  <c r="T154" i="21"/>
  <c r="AB154" i="21" s="1"/>
  <c r="T153" i="21"/>
  <c r="AB153" i="21" s="1"/>
  <c r="T152" i="21"/>
  <c r="AB152" i="21" s="1"/>
  <c r="AK102" i="21"/>
  <c r="AP133" i="21" s="1"/>
  <c r="AK114" i="21" s="1"/>
  <c r="AK115" i="21"/>
  <c r="AN164" i="21" s="1"/>
  <c r="AB158" i="21"/>
  <c r="AS34" i="37" l="1"/>
  <c r="AS57" i="37"/>
  <c r="AO57" i="34"/>
  <c r="AO34" i="34"/>
  <c r="AN163" i="21"/>
  <c r="AR113" i="21"/>
  <c r="AP113" i="21" s="1"/>
  <c r="AP118" i="21" s="1"/>
  <c r="AK112" i="21" s="1"/>
  <c r="AB156" i="21"/>
  <c r="AP168" i="21" s="1"/>
  <c r="AS56" i="37" l="1"/>
  <c r="AQ56" i="37" s="1"/>
  <c r="AS33" i="37"/>
  <c r="AQ33" i="37" s="1"/>
  <c r="AO56" i="34"/>
  <c r="AO33" i="34"/>
  <c r="AR114" i="21"/>
  <c r="AL87" i="21"/>
  <c r="AN160" i="21" s="1"/>
  <c r="AS53" i="37" l="1"/>
  <c r="AQ52" i="37" s="1"/>
  <c r="AS30" i="37"/>
  <c r="AQ29" i="37" s="1"/>
  <c r="AO30" i="34"/>
  <c r="AO53" i="34"/>
  <c r="AN161" i="21"/>
  <c r="AP114" i="21"/>
  <c r="AP119" i="21" s="1"/>
  <c r="AC89" i="21"/>
  <c r="AS54" i="37" l="1"/>
  <c r="AS31" i="37"/>
  <c r="AO54" i="34"/>
  <c r="AO31" i="34"/>
  <c r="AK113" i="21"/>
  <c r="AK116" i="21" s="1"/>
  <c r="AC124" i="21" s="1"/>
  <c r="AN147" i="21"/>
  <c r="AN146" i="21"/>
  <c r="AN162" i="21" l="1"/>
  <c r="AP29" i="21"/>
  <c r="AP30" i="21"/>
  <c r="AS55" i="37" l="1"/>
  <c r="AQ54" i="37" s="1"/>
  <c r="AS32" i="37"/>
  <c r="AQ31" i="37" s="1"/>
  <c r="AV158" i="21"/>
  <c r="AO32" i="34"/>
  <c r="AO55" i="34"/>
  <c r="D48" i="21"/>
  <c r="AN149" i="21"/>
  <c r="D146" i="21" l="1"/>
  <c r="AP149" i="21"/>
  <c r="AN148" i="21"/>
  <c r="AP148" i="21" s="1"/>
  <c r="AP147" i="21"/>
  <c r="AP146" i="21"/>
  <c r="O23" i="21"/>
  <c r="D171" i="23"/>
  <c r="D170" i="23"/>
  <c r="D169" i="23"/>
  <c r="D166" i="23"/>
  <c r="D165" i="23"/>
  <c r="D164" i="23"/>
  <c r="D163" i="23"/>
  <c r="D162" i="23"/>
  <c r="D161" i="23"/>
  <c r="D160" i="23"/>
  <c r="AA152" i="23"/>
  <c r="D152" i="23"/>
  <c r="AC140" i="23"/>
  <c r="AB138" i="23"/>
  <c r="Y138" i="23"/>
  <c r="W132" i="23"/>
  <c r="W140" i="23" s="1"/>
  <c r="B119" i="23"/>
  <c r="B118" i="23"/>
  <c r="AD117" i="23"/>
  <c r="B116" i="23"/>
  <c r="B115" i="23"/>
  <c r="B114" i="23"/>
  <c r="AC107" i="23"/>
  <c r="X119" i="23" s="1"/>
  <c r="AJ104" i="23"/>
  <c r="AF108" i="23" s="1"/>
  <c r="M95" i="23"/>
  <c r="AJ103" i="23" s="1"/>
  <c r="AF107" i="23" s="1"/>
  <c r="AJ83" i="23"/>
  <c r="AC83" i="23" s="1"/>
  <c r="C81" i="23"/>
  <c r="W76" i="23"/>
  <c r="Z75" i="23"/>
  <c r="Z73" i="23"/>
  <c r="Z72" i="23"/>
  <c r="AJ64" i="23"/>
  <c r="N65" i="23" s="1"/>
  <c r="AC59" i="23"/>
  <c r="X116" i="23" s="1"/>
  <c r="AJ48" i="23"/>
  <c r="AC48" i="23" s="1"/>
  <c r="X115" i="23" s="1"/>
  <c r="D48" i="23"/>
  <c r="AC38" i="23"/>
  <c r="AC35" i="23"/>
  <c r="E33" i="23"/>
  <c r="AO32" i="23"/>
  <c r="AO33" i="23" s="1"/>
  <c r="AO31" i="23"/>
  <c r="AO30" i="23"/>
  <c r="AO29" i="23"/>
  <c r="AJ29" i="23"/>
  <c r="AE29" i="23"/>
  <c r="AJ33" i="23" s="1"/>
  <c r="AC33" i="23" s="1"/>
  <c r="X114" i="23" s="1"/>
  <c r="X29" i="23"/>
  <c r="S23" i="23"/>
  <c r="S12" i="23"/>
  <c r="AU51" i="37" l="1"/>
  <c r="AU58" i="37" s="1"/>
  <c r="AE39" i="37" s="1"/>
  <c r="AK42" i="37" s="1"/>
  <c r="B43" i="37" s="1"/>
  <c r="AU28" i="37"/>
  <c r="AO27" i="23"/>
  <c r="AC108" i="23"/>
  <c r="M96" i="23"/>
  <c r="AR161" i="21"/>
  <c r="AR159" i="21"/>
  <c r="AP158" i="21"/>
  <c r="AR163" i="21"/>
  <c r="AR164" i="21"/>
  <c r="AR162" i="21"/>
  <c r="AD118" i="23"/>
  <c r="AJ109" i="23"/>
  <c r="X122" i="23"/>
  <c r="D167" i="23"/>
  <c r="N66" i="23"/>
  <c r="D168" i="23"/>
  <c r="D173" i="22"/>
  <c r="D172" i="22"/>
  <c r="D171" i="22"/>
  <c r="D169" i="22"/>
  <c r="D168" i="22"/>
  <c r="D167" i="22"/>
  <c r="D166" i="22"/>
  <c r="D165" i="22"/>
  <c r="D164" i="22"/>
  <c r="D163" i="22"/>
  <c r="D156" i="22"/>
  <c r="AG141" i="22"/>
  <c r="AG140" i="22"/>
  <c r="AB133" i="22"/>
  <c r="AB132" i="22"/>
  <c r="AB131" i="22"/>
  <c r="O130" i="22"/>
  <c r="AB130" i="22" s="1"/>
  <c r="AJ143" i="22" s="1"/>
  <c r="J118" i="22"/>
  <c r="J117" i="22"/>
  <c r="J116" i="22"/>
  <c r="J115" i="22"/>
  <c r="J114" i="22"/>
  <c r="AJ105" i="22"/>
  <c r="AC108" i="22" s="1"/>
  <c r="M96" i="22"/>
  <c r="AJ104" i="22" s="1"/>
  <c r="N87" i="22"/>
  <c r="O86" i="22"/>
  <c r="AJ82" i="22"/>
  <c r="AC82" i="22" s="1"/>
  <c r="AC117" i="22" s="1"/>
  <c r="C80" i="22"/>
  <c r="W75" i="22"/>
  <c r="Z74" i="22"/>
  <c r="Z71" i="22"/>
  <c r="AC69" i="22"/>
  <c r="AC59" i="22"/>
  <c r="AC60" i="22" s="1"/>
  <c r="AC116" i="22" s="1"/>
  <c r="D48" i="22"/>
  <c r="AC38" i="22"/>
  <c r="AJ48" i="22" s="1"/>
  <c r="AC48" i="22" s="1"/>
  <c r="AJ49" i="22" s="1"/>
  <c r="AC49" i="22" s="1"/>
  <c r="AC115" i="22" s="1"/>
  <c r="AC35" i="22"/>
  <c r="E33" i="22"/>
  <c r="AO32" i="22"/>
  <c r="AO33" i="22" s="1"/>
  <c r="AO31" i="22"/>
  <c r="AO30" i="22"/>
  <c r="AO29" i="22"/>
  <c r="AJ29" i="22"/>
  <c r="AE29" i="22"/>
  <c r="AJ33" i="22" s="1"/>
  <c r="AC33" i="22" s="1"/>
  <c r="AJ34" i="22" s="1"/>
  <c r="AC34" i="22" s="1"/>
  <c r="AC114" i="22" s="1"/>
  <c r="X29" i="22"/>
  <c r="S23" i="22"/>
  <c r="S12" i="22"/>
  <c r="AO27" i="22" l="1"/>
  <c r="M84" i="22"/>
  <c r="AB134" i="22"/>
  <c r="AB143" i="22" s="1"/>
  <c r="M97" i="22"/>
  <c r="D109" i="23"/>
  <c r="AD120" i="23"/>
  <c r="AD123" i="23" s="1"/>
  <c r="AC142" i="23" s="1"/>
  <c r="AC141" i="23" s="1"/>
  <c r="AP161" i="21"/>
  <c r="AP163" i="21"/>
  <c r="W142" i="23"/>
  <c r="AK122" i="23"/>
  <c r="AG109" i="22"/>
  <c r="AC118" i="22"/>
  <c r="AC120" i="22" s="1"/>
  <c r="AJ109" i="22"/>
  <c r="AJ64" i="22"/>
  <c r="AL140" i="23" l="1"/>
  <c r="W141" i="23"/>
  <c r="AK140" i="23"/>
  <c r="AK120" i="22"/>
  <c r="B146" i="22" s="1"/>
  <c r="AM153" i="22"/>
  <c r="AM154" i="22" s="1"/>
  <c r="AJ145" i="22"/>
  <c r="AL145" i="22"/>
  <c r="AG65" i="22"/>
  <c r="D170" i="22"/>
  <c r="C87" i="21"/>
  <c r="B145" i="23" l="1"/>
  <c r="AK141" i="23"/>
  <c r="AC60" i="21"/>
  <c r="AN157" i="21" s="1"/>
  <c r="AC35" i="21"/>
  <c r="AP32" i="21"/>
  <c r="AP33" i="21" s="1"/>
  <c r="AP31" i="21"/>
  <c r="AK29" i="21"/>
  <c r="X29" i="21" s="1"/>
  <c r="S12" i="21"/>
  <c r="AP157" i="21" l="1"/>
  <c r="AO27" i="34"/>
  <c r="AQ27" i="34" s="1"/>
  <c r="AO50" i="34"/>
  <c r="AQ50" i="34" s="1"/>
  <c r="AS50" i="34" s="1"/>
  <c r="AP156" i="21"/>
  <c r="AC26" i="21"/>
  <c r="AR160" i="21"/>
  <c r="AP27" i="21"/>
  <c r="AK65" i="21"/>
  <c r="C67" i="21" s="1"/>
  <c r="C66" i="21" l="1"/>
  <c r="AK33" i="21"/>
  <c r="AC33" i="21" s="1"/>
  <c r="AN155" i="21" s="1"/>
  <c r="AP159" i="21"/>
  <c r="AT158" i="21" s="1"/>
  <c r="AP155" i="21" l="1"/>
  <c r="AT155" i="21" s="1"/>
  <c r="AP165" i="21" s="1"/>
  <c r="K136" i="21" s="1"/>
  <c r="AO25" i="34"/>
  <c r="AQ25" i="34" s="1"/>
  <c r="AU25" i="34" s="1"/>
  <c r="AO48" i="34"/>
  <c r="AQ48" i="34" s="1"/>
  <c r="AS48" i="34" s="1"/>
  <c r="AU48" i="34" s="1"/>
  <c r="D18" i="15"/>
  <c r="D17" i="15"/>
  <c r="AP166" i="21" l="1"/>
  <c r="AP169" i="21" s="1"/>
  <c r="B164" i="21" s="1"/>
  <c r="AJ156" i="21"/>
  <c r="AQ51" i="34" l="1"/>
  <c r="AB159" i="21"/>
  <c r="AJ157" i="21"/>
  <c r="B161" i="21" s="1"/>
  <c r="K137" i="21"/>
  <c r="AQ28" i="34" l="1"/>
  <c r="AS56" i="34"/>
  <c r="AS54" i="34"/>
  <c r="AS52" i="34"/>
  <c r="AS53" i="34"/>
  <c r="AS55" i="34"/>
  <c r="AS57" i="34"/>
  <c r="AS31" i="34"/>
  <c r="AS29" i="34"/>
  <c r="AS33" i="34"/>
  <c r="AS32" i="34"/>
  <c r="AS30" i="34"/>
  <c r="AS34" i="34"/>
  <c r="AQ54" i="34" l="1"/>
  <c r="AQ31" i="34"/>
  <c r="AQ56" i="34"/>
  <c r="AQ52" i="34"/>
  <c r="AQ33" i="34"/>
  <c r="AQ29" i="34"/>
  <c r="AU51" i="34" l="1"/>
  <c r="AU58" i="34" s="1"/>
  <c r="AU28" i="34"/>
  <c r="AE39" i="34" l="1"/>
  <c r="AK42" i="34" s="1"/>
  <c r="B43"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A2E0A9A1-B256-4D53-9C21-50C39078117F}">
      <text>
        <r>
          <rPr>
            <b/>
            <sz val="9"/>
            <color indexed="81"/>
            <rFont val="Tahoma"/>
            <family val="2"/>
          </rPr>
          <t xml:space="preserve">Art. 15 OcEne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H17" authorId="0" shapeId="0" xr:uid="{00000000-0006-0000-0100-000003000000}">
      <text>
        <r>
          <rPr>
            <b/>
            <sz val="9"/>
            <color indexed="81"/>
            <rFont val="Tahoma"/>
            <family val="2"/>
          </rPr>
          <t xml:space="preserve">Selon aide à l'application &amp; Mopec 2014
</t>
        </r>
        <r>
          <rPr>
            <sz val="9"/>
            <color indexed="81"/>
            <rFont val="Tahoma"/>
            <family val="2"/>
          </rPr>
          <t xml:space="preserve">Pour un système de rafraichissement passif, par exemple du free cooling à partir de sondes géothermiques, la commande automatique n’est pas exigée. La seule utilisation de pompes de circulation n’est pas considérée comme du rafraichissement actif.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M20" authorId="0" shapeId="0" xr:uid="{6123E9EF-4B75-4E22-8EB2-6BD9B0D5DF37}">
      <text>
        <r>
          <rPr>
            <b/>
            <sz val="9"/>
            <color indexed="81"/>
            <rFont val="Tahoma"/>
            <family val="2"/>
          </rPr>
          <t>Art. 62 al. 2 let. c OcEne</t>
        </r>
        <r>
          <rPr>
            <sz val="9"/>
            <color indexed="81"/>
            <rFont val="Tahoma"/>
            <family val="2"/>
          </rPr>
          <t xml:space="preserve">
Remplacement de chaudière fossile par chaudière fossile
Solution standard n°3
c) Mise en place d’un chauffe-eau pompe à chaleur raccordé à l'installation de chauffage et pose d’une installation solaire photovoltaïque – condition: puissance de l'installation solaire photovoltaïque ≥ 5 Wc par m² de surface de référence énergétique
</t>
        </r>
        <r>
          <rPr>
            <b/>
            <sz val="9"/>
            <color indexed="81"/>
            <rFont val="Tahoma"/>
            <family val="2"/>
          </rPr>
          <t xml:space="preserve">Art. 63 OcEne en application de l'art. 40 al. 2e LcEne
</t>
        </r>
        <r>
          <rPr>
            <sz val="9"/>
            <color indexed="81"/>
            <rFont val="Tahoma"/>
            <family val="2"/>
          </rPr>
          <t>Remplacement des chauffages électriques décentralisés par des chauffages électriques décentralisés</t>
        </r>
        <r>
          <rPr>
            <b/>
            <sz val="9"/>
            <color indexed="81"/>
            <rFont val="Tahoma"/>
            <family val="2"/>
          </rPr>
          <t xml:space="preserve">
</t>
        </r>
        <r>
          <rPr>
            <sz val="9"/>
            <color indexed="81"/>
            <rFont val="Tahoma"/>
            <family val="2"/>
          </rPr>
          <t xml:space="preserve">
Sont notamment exemptés les chauffages électriques décentralisés suivants: [...] 
e) les chauffages électriques de bâtiments disposant d'une production hivernale d'électricité sur site à partir d'énergies renouvelables qui permet de couvrir l'énergie nécessaire au chauffage électrique</t>
        </r>
      </text>
    </comment>
    <comment ref="O26" authorId="0" shapeId="0" xr:uid="{00000000-0006-0000-0100-000004000000}">
      <text>
        <r>
          <rPr>
            <b/>
            <sz val="9"/>
            <color indexed="81"/>
            <rFont val="Tahoma"/>
            <family val="2"/>
          </rPr>
          <t xml:space="preserve">Art. 33 LcEne
</t>
        </r>
        <r>
          <rPr>
            <sz val="9"/>
            <color indexed="81"/>
            <rFont val="Tahoma"/>
            <family val="2"/>
          </rPr>
          <t>1 Les nouveaux bâtiments et les agrandissements de bâtiments existants doivent produire une part d'électricité qui sera consommée. Une installation de production d'électricité doit être installée dans, sur ou à proximité du bâtiment et générer au moins 20 W par m² de surface de référence énergétique, sans qu'une puissance supérieure à 30 kW soit imposée.</t>
        </r>
      </text>
    </comment>
    <comment ref="AA32" authorId="0" shapeId="0" xr:uid="{00000000-0006-0000-0100-000005000000}">
      <text>
        <r>
          <rPr>
            <b/>
            <sz val="9"/>
            <color indexed="81"/>
            <rFont val="Tahoma"/>
            <family val="2"/>
          </rPr>
          <t xml:space="preserve">Art. 61 OcEne
Exigences concernant la couverture de l’ensemble des besoins énergétiques
</t>
        </r>
        <r>
          <rPr>
            <sz val="9"/>
            <color indexed="81"/>
            <rFont val="Tahoma"/>
            <family val="2"/>
          </rPr>
          <t>1 Les bâtiments disposant d’un label Minergie-P®, Minergie-A® ou d’un CECB A/A ne doivent pas démontrer le respect des exigences individuelles des articles 32, 33 et 34 LcEne.
2 Les grands ensembles de bâtiments disposant d’un label Minergie-Quartier® ne doivent pas démontrer le respect des exigences individuelles des articles 32, 33 et 34 LcEne.</t>
        </r>
      </text>
    </comment>
    <comment ref="Q37" authorId="0" shapeId="0" xr:uid="{00000000-0006-0000-0100-000006000000}">
      <text>
        <r>
          <rPr>
            <b/>
            <sz val="9"/>
            <color indexed="81"/>
            <rFont val="Tahoma"/>
            <family val="2"/>
          </rPr>
          <t xml:space="preserve">Art. 64 al. 1 OcEne
</t>
        </r>
        <r>
          <rPr>
            <sz val="9"/>
            <color indexed="81"/>
            <rFont val="Tahoma"/>
            <family val="2"/>
          </rPr>
          <t xml:space="preserve">
En cas de dépose de la couverture de la toiture, une installation solaire d’une puissance installée d’au moins 20 W par m² de SRE doit être mise en place, sans qu'une puissance supérieure à 30 kW soit imposée.
</t>
        </r>
        <r>
          <rPr>
            <b/>
            <sz val="9"/>
            <color indexed="81"/>
            <rFont val="Tahoma"/>
            <family val="2"/>
          </rPr>
          <t xml:space="preserve">
Art. 43 al. 2 LcEne
</t>
        </r>
        <r>
          <rPr>
            <sz val="9"/>
            <color indexed="81"/>
            <rFont val="Tahoma"/>
            <family val="2"/>
          </rPr>
          <t>Les bâtiments dont la</t>
        </r>
        <r>
          <rPr>
            <b/>
            <sz val="9"/>
            <color indexed="81"/>
            <rFont val="Tahoma"/>
            <family val="2"/>
          </rPr>
          <t xml:space="preserve"> surface de toiture est supérieure à 500 m²</t>
        </r>
        <r>
          <rPr>
            <sz val="9"/>
            <color indexed="81"/>
            <rFont val="Tahoma"/>
            <family val="2"/>
          </rPr>
          <t xml:space="preserve"> doivent être équipés pour produire de l'électricité dans un délai de 25 ans à compter de l’entrée en vigueur de la présente loi.[...]
-&gt; c'est-à-dire d'ici au 31.12.2049</t>
        </r>
        <r>
          <rPr>
            <b/>
            <sz val="9"/>
            <color indexed="81"/>
            <rFont val="Tahoma"/>
            <family val="2"/>
          </rPr>
          <t xml:space="preserve">
</t>
        </r>
        <r>
          <rPr>
            <sz val="9"/>
            <color indexed="81"/>
            <rFont val="Tahoma"/>
            <family val="2"/>
          </rPr>
          <t xml:space="preserve">
</t>
        </r>
        <r>
          <rPr>
            <b/>
            <sz val="9"/>
            <color indexed="81"/>
            <rFont val="Tahoma"/>
            <family val="2"/>
          </rPr>
          <t>Art. 64 al. 5 OcEne</t>
        </r>
        <r>
          <rPr>
            <sz val="9"/>
            <color indexed="81"/>
            <rFont val="Tahoma"/>
            <family val="2"/>
          </rPr>
          <t xml:space="preserve">
En application de l’article 43 alinéa 2 LcEne, une surface de panneaux photovoltaïques correspondant au minimum à 40 pour cent de la surface de la toiture ou représentant une puissance installée d’au moins 20 W par m² de SRE doit être mise en place.</t>
        </r>
      </text>
    </comment>
    <comment ref="AB49" authorId="0" shapeId="0" xr:uid="{00000000-0006-0000-0100-000007000000}">
      <text>
        <r>
          <rPr>
            <b/>
            <sz val="9"/>
            <color indexed="81"/>
            <rFont val="Tahoma"/>
            <family val="2"/>
          </rPr>
          <t xml:space="preserve">Art. 64 al. 2 OcEne
</t>
        </r>
        <r>
          <rPr>
            <sz val="9"/>
            <color indexed="81"/>
            <rFont val="Tahoma"/>
            <family val="2"/>
          </rPr>
          <t xml:space="preserve">
La surface de l’installation ne doit toutefois pas être supérieure à 80 pour cent des surfaces de toiture dont la couverture est déposée.</t>
        </r>
      </text>
    </comment>
    <comment ref="W58" authorId="0" shapeId="0" xr:uid="{00000000-0006-0000-0100-000008000000}">
      <text>
        <r>
          <rPr>
            <b/>
            <sz val="8"/>
            <color indexed="81"/>
            <rFont val="Tahoma"/>
            <family val="2"/>
          </rPr>
          <t xml:space="preserve">Art. 62 Al. 2c) OcEne
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65" authorId="0" shapeId="0" xr:uid="{00000000-0006-0000-0100-000009000000}">
      <text>
        <r>
          <rPr>
            <b/>
            <sz val="8"/>
            <color indexed="81"/>
            <rFont val="Tahoma"/>
            <family val="2"/>
          </rPr>
          <t xml:space="preserve">Art.63 OcEne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4" authorId="0" shapeId="0" xr:uid="{00000000-0006-0000-0100-00000A000000}">
      <text>
        <r>
          <rPr>
            <b/>
            <sz val="8"/>
            <color indexed="81"/>
            <rFont val="Tahoma"/>
            <family val="2"/>
          </rPr>
          <t>Art.55 OcEne</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N83" authorId="0" shapeId="0" xr:uid="{00000000-0006-0000-0100-00000B000000}">
      <text>
        <r>
          <rPr>
            <sz val="8"/>
            <color indexed="81"/>
            <rFont val="Tahoma"/>
            <family val="2"/>
          </rPr>
          <t>Valeur à reprendre depuis formulaire EN-VS-110</t>
        </r>
      </text>
    </comment>
    <comment ref="AE83" authorId="0" shapeId="0" xr:uid="{00000000-0006-0000-0100-00000C000000}">
      <text>
        <r>
          <rPr>
            <sz val="8"/>
            <color indexed="81"/>
            <rFont val="Tahoma"/>
            <family val="2"/>
          </rPr>
          <t>Valeur à reprendre depuis formulaire EN-VS-110</t>
        </r>
      </text>
    </comment>
    <comment ref="N86" authorId="0" shapeId="0" xr:uid="{00000000-0006-0000-0100-00000D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(art.60 al. 1, 3 et 4 OcEne)</t>
        </r>
      </text>
    </comment>
    <comment ref="AE86" authorId="0" shapeId="0" xr:uid="{00000000-0006-0000-0100-00000E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(OcEne art.60 al.1, 3 et 4)
</t>
        </r>
      </text>
    </comment>
    <comment ref="N100" authorId="0" shapeId="0" xr:uid="{00000000-0006-0000-0100-00000F000000}">
      <text>
        <r>
          <rPr>
            <sz val="8"/>
            <color indexed="81"/>
            <rFont val="Tahoma"/>
            <family val="2"/>
          </rPr>
          <t>Valeur à reprendre depuis formulaire EN-VS-110</t>
        </r>
      </text>
    </comment>
    <comment ref="AE100" authorId="0" shapeId="0" xr:uid="{00000000-0006-0000-0100-000010000000}">
      <text>
        <r>
          <rPr>
            <sz val="8"/>
            <color indexed="81"/>
            <rFont val="Tahoma"/>
            <family val="2"/>
          </rPr>
          <t>Valeur à reprendre depuis formulaire EN-VS-110</t>
        </r>
      </text>
    </comment>
    <comment ref="N103" authorId="0" shapeId="0" xr:uid="{00000000-0006-0000-0100-000011000000}">
      <text>
        <r>
          <rPr>
            <b/>
            <sz val="9"/>
            <color indexed="81"/>
            <rFont val="Tahoma"/>
            <family val="2"/>
          </rPr>
          <t xml:space="preserve">En cas de simulation de production effectuée par un bureau spécialisé
</t>
        </r>
        <r>
          <rPr>
            <sz val="9"/>
            <color indexed="81"/>
            <rFont val="Tahoma"/>
            <family val="2"/>
          </rPr>
          <t>Valeur à saisir manuellement en cas de simulation de la quantité d’électricité nécessaire, réalisée par un bureau spécialisé et effectuée dans les règles de l’art (art. 60 al. 1, 3 et 4 OcEne)</t>
        </r>
      </text>
    </comment>
    <comment ref="AE103" authorId="0" shapeId="0" xr:uid="{00000000-0006-0000-0100-000012000000}">
      <text>
        <r>
          <rPr>
            <b/>
            <sz val="9"/>
            <color indexed="81"/>
            <rFont val="Tahoma"/>
            <family val="2"/>
          </rPr>
          <t xml:space="preserve">En cas de simulation de production effectuée par un bureau spécialisé
</t>
        </r>
        <r>
          <rPr>
            <sz val="9"/>
            <color indexed="81"/>
            <rFont val="Tahoma"/>
            <family val="2"/>
          </rPr>
          <t xml:space="preserve">Valeur à saisir manuellement en cas de simulation de la quantité d’électricité nécessaire, réalisée par un bureau spécialisé et effectuée dans les règles de l’art (art. 60 al. 1, 3 et 4 OcEne)
</t>
        </r>
      </text>
    </comment>
    <comment ref="F105" authorId="0" shapeId="0" xr:uid="{00000000-0006-0000-0100-000013000000}">
      <text>
        <r>
          <rPr>
            <b/>
            <sz val="9"/>
            <color indexed="81"/>
            <rFont val="Tahoma"/>
            <family val="2"/>
          </rPr>
          <t xml:space="preserve">Selon extrait de l'aide à l'application EN-VS-102
Consommation supplémentaire selon les protections solaires
</t>
        </r>
        <r>
          <rPr>
            <sz val="9"/>
            <color indexed="81"/>
            <rFont val="Tahoma"/>
            <family val="2"/>
          </rPr>
          <t xml:space="preserve">
Les protections solaires des locaux au bénéfice d’installations de rafraîchissement doivent être automatisées et doivent répondre aux exigences de la norme SIA 382/1:2014 (voir l’aide EN-VS-102 « Protection thermique des bâtiments en hiver et en été »). 
Selon la nature des protections solaires, une adaptation pour satisfaire l’exigence d’automatisation pourrait s’avérer disproportionnée dans les bâtiments existants, à moins que des travaux soient prévus dans le cadre d’une rénovation de façade et/ou de toiture (pour les velux).
Pour les cas où une telle disproportion est clairement avérée, l’énergie électrique supplémentaire résultant de la « surproduction d’énergie frigorifique » doit être compensée par une production propre d’électricité sur site. 
Par analogie à l’art. 60 al. 2 OcEne, et en fonction de la performance des protections solaires (selon SIA 382/1), cette énergie électrique supplémentaire en kWh peut par simplification être calculée en multipliant la puissance électrique totale en kW des appareils nécessaires à la production et à la distribution de froid, par les majorations horaires suivantes : 
• 500 h/an en cas de protection solaire extérieure insuffisante manuelle.
• 1'000 h/an en cas de protection solaire intérieure ou inexistante.
Aucune compensation n’est exigée lors du recours à des énergies renouvelables pour le rafraîchissement (nappe, cours d’eau, géostructures, etc…).
Pour un rafraîchissement de confort, il est recommandé de régler la température ambiante à 28°C.
</t>
        </r>
        <r>
          <rPr>
            <b/>
            <sz val="9"/>
            <color indexed="81"/>
            <rFont val="Tahoma"/>
            <family val="2"/>
          </rPr>
          <t>Dispenses</t>
        </r>
        <r>
          <rPr>
            <sz val="9"/>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t>
        </r>
        <r>
          <rPr>
            <b/>
            <sz val="9"/>
            <color indexed="81"/>
            <rFont val="Tahoma"/>
            <family val="2"/>
          </rPr>
          <t xml:space="preserve">
Selon MoPEC 2025 adopté par ENDK le 29.08.2025 : </t>
        </r>
        <r>
          <rPr>
            <sz val="9"/>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9"/>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9"/>
            <color indexed="81"/>
            <rFont val="Tahoma"/>
            <family val="2"/>
          </rPr>
          <t xml:space="preserve">
3 Pour les autres locaux, les exigences relatives à la valeur g de la protection solaire sont celles fixées par l'état de la technique.</t>
        </r>
      </text>
    </comment>
    <comment ref="G111" authorId="0" shapeId="0" xr:uid="{00000000-0006-0000-0100-000014000000}">
      <text>
        <r>
          <rPr>
            <sz val="9"/>
            <color indexed="81"/>
            <rFont val="Tahoma"/>
            <family val="2"/>
          </rPr>
          <t>Selon norme SIA 382/1 (chap.5.6) 
et EN-VS-110</t>
        </r>
      </text>
    </comment>
    <comment ref="K115" authorId="0" shapeId="0" xr:uid="{00000000-0006-0000-0100-000015000000}">
      <text>
        <r>
          <rPr>
            <b/>
            <sz val="9"/>
            <color indexed="81"/>
            <rFont val="Tahoma"/>
            <family val="2"/>
          </rPr>
          <t xml:space="preserve">EER maximal selon état de la technique </t>
        </r>
        <r>
          <rPr>
            <sz val="9"/>
            <color indexed="81"/>
            <rFont val="Tahoma"/>
            <family val="2"/>
          </rPr>
          <t xml:space="preserve">
Selon norme SIA 382/1 
chapitre 5.6 Production de froid
Intrapolé selon norme SIA 382/1 (chapitre 5.6 Production de froid) pour la machine effectivement retenue dans le cadre du projet</t>
        </r>
      </text>
    </comment>
    <comment ref="AB127" authorId="0" shapeId="0" xr:uid="{00000000-0006-0000-0100-000017000000}">
      <text>
        <r>
          <rPr>
            <b/>
            <sz val="9"/>
            <color indexed="81"/>
            <rFont val="Tahoma"/>
            <family val="2"/>
          </rPr>
          <t>Simuler une installation sur le site concerné par le projet:</t>
        </r>
        <r>
          <rPr>
            <sz val="9"/>
            <color indexed="81"/>
            <rFont val="Tahoma"/>
            <family val="2"/>
          </rPr>
          <t xml:space="preserve">
- selon adresse
- selon orientation et inclinaisons de la toiture
- la puissance n'a ici pas d'importance
</t>
        </r>
        <r>
          <rPr>
            <b/>
            <sz val="9"/>
            <color indexed="81"/>
            <rFont val="Tahoma"/>
            <family val="2"/>
          </rPr>
          <t>Reporter ci-dessous :</t>
        </r>
        <r>
          <rPr>
            <sz val="9"/>
            <color indexed="81"/>
            <rFont val="Tahoma"/>
            <family val="2"/>
          </rPr>
          <t xml:space="preserve">
- les productions électriques mensuelles en [kWh]
- la puissance de l'installation simulée
</t>
        </r>
        <r>
          <rPr>
            <b/>
            <sz val="9"/>
            <color indexed="81"/>
            <rFont val="Tahoma"/>
            <family val="2"/>
          </rPr>
          <t>Calculateur de Suisse Energie:</t>
        </r>
        <r>
          <rPr>
            <sz val="9"/>
            <color indexed="81"/>
            <rFont val="Tahoma"/>
            <family val="2"/>
          </rPr>
          <t xml:space="preserve">
https://www.suisseenergie.ch/tools/calculateur-solaire/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12" authorId="0" shapeId="0" xr:uid="{10F540E1-450D-43AD-A2EA-6FA915EEB0DD}">
      <text>
        <r>
          <rPr>
            <b/>
            <sz val="9"/>
            <color indexed="81"/>
            <rFont val="Tahoma"/>
            <family val="2"/>
          </rPr>
          <t>Simuler l'installation solaire requise sur le site initial :</t>
        </r>
        <r>
          <rPr>
            <sz val="9"/>
            <color indexed="81"/>
            <rFont val="Tahoma"/>
            <family val="2"/>
          </rPr>
          <t xml:space="preserve">
- selon adresse
- le choix de la puissance simulée n'a ici pas d'importance 
</t>
        </r>
        <r>
          <rPr>
            <b/>
            <sz val="9"/>
            <color indexed="81"/>
            <rFont val="Tahoma"/>
            <family val="2"/>
          </rPr>
          <t xml:space="preserve">
Reporter ci-dessous :</t>
        </r>
        <r>
          <rPr>
            <sz val="9"/>
            <color indexed="81"/>
            <rFont val="Tahoma"/>
            <family val="2"/>
          </rPr>
          <t xml:space="preserve">
- la puissance de l'installation simulée
- la production électrique en [kWh] pour chaque mois
</t>
        </r>
        <r>
          <rPr>
            <b/>
            <sz val="9"/>
            <color indexed="81"/>
            <rFont val="Tahoma"/>
            <family val="2"/>
          </rPr>
          <t>Calculateur de Suisse Energie:</t>
        </r>
        <r>
          <rPr>
            <sz val="9"/>
            <color indexed="81"/>
            <rFont val="Tahoma"/>
            <family val="2"/>
          </rPr>
          <t xml:space="preserve">
https://www.suisseenergie.ch/tools/calculateur-solaire/</t>
        </r>
      </text>
    </comment>
    <comment ref="W22" authorId="0" shapeId="0" xr:uid="{04D94EB3-A296-4287-ACE9-534EFE22AE10}">
      <text>
        <r>
          <rPr>
            <b/>
            <sz val="9"/>
            <color indexed="81"/>
            <rFont val="Tahoma"/>
            <family val="2"/>
          </rPr>
          <t>Selon la lettre d'enregistrement de l'installation photovoltïque participative.</t>
        </r>
        <r>
          <rPr>
            <sz val="9"/>
            <color indexed="81"/>
            <rFont val="Tahoma"/>
            <family val="2"/>
          </rPr>
          <t xml:space="preserve">
</t>
        </r>
        <r>
          <rPr>
            <b/>
            <sz val="9"/>
            <color indexed="81"/>
            <rFont val="Tahoma"/>
            <family val="2"/>
          </rPr>
          <t xml:space="preserve">
Reporter ci-dessous :</t>
        </r>
        <r>
          <rPr>
            <sz val="9"/>
            <color indexed="81"/>
            <rFont val="Tahoma"/>
            <family val="2"/>
          </rPr>
          <t xml:space="preserve">
- la puissance de l'installation solaire
- la production électrique en [kWh] pour chaque mois
</t>
        </r>
      </text>
    </comment>
    <comment ref="U32" authorId="0" shapeId="0" xr:uid="{975CE5ED-A6E1-4E87-BDAD-E0C6C3213899}">
      <text>
        <r>
          <rPr>
            <sz val="9"/>
            <color indexed="81"/>
            <rFont val="Tahoma"/>
            <family val="2"/>
          </rPr>
          <t>Selon annexe à la  lettre d'enregistrement de l'installation photovoltaïque participative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D7" authorId="0" shapeId="0" xr:uid="{00000000-0006-0000-0400-000001000000}">
      <text>
        <r>
          <rPr>
            <b/>
            <sz val="9"/>
            <color indexed="81"/>
            <rFont val="Tahoma"/>
            <family val="2"/>
          </rPr>
          <t xml:space="preserve">Die EGID-Nr. ist zu finden unter :
https://map.geo.admin.ch/
</t>
        </r>
        <r>
          <rPr>
            <sz val="9"/>
            <color indexed="81"/>
            <rFont val="Tahoma"/>
            <family val="2"/>
          </rPr>
          <t>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t>
        </r>
      </text>
    </comment>
    <comment ref="K12" authorId="0" shapeId="0" xr:uid="{00000000-0006-0000-0400-000002000000}">
      <text>
        <r>
          <rPr>
            <b/>
            <sz val="8"/>
            <color indexed="81"/>
            <rFont val="Tahoma"/>
            <family val="2"/>
          </rPr>
          <t xml:space="preserve">Art. 15 kEnV
</t>
        </r>
        <r>
          <rPr>
            <sz val="8"/>
            <color indexed="81"/>
            <rFont val="Tahoma"/>
            <family val="2"/>
          </rPr>
          <t>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AH17" authorId="0" shapeId="0" xr:uid="{00000000-0006-0000-0400-000003000000}">
      <text>
        <r>
          <rPr>
            <b/>
            <sz val="9"/>
            <color indexed="81"/>
            <rFont val="Tahoma"/>
            <family val="2"/>
          </rPr>
          <t xml:space="preserve">Gemäss Anwendungshilfe  &amp; MuKEn 2014
</t>
        </r>
        <r>
          <rPr>
            <sz val="9"/>
            <color indexed="81"/>
            <rFont val="Tahoma"/>
            <family val="2"/>
          </rPr>
          <t xml:space="preserve">Für ein passives Kühlsystem, z. B. Freecooling aus Erdwärmesonden, ist die automatische Steuerung des Sonnenschutzes nicht erforderlich. Der alleinige Einsatz von Umwälzpumpen gilt nicht als aktive Kühlung.
</t>
        </r>
        <r>
          <rPr>
            <b/>
            <sz val="9"/>
            <color indexed="81"/>
            <rFont val="Tahoma"/>
            <family val="2"/>
          </rPr>
          <t xml:space="preserve">
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t>
        </r>
        <r>
          <rPr>
            <b/>
            <sz val="9"/>
            <color indexed="81"/>
            <rFont val="Tahoma"/>
            <family val="2"/>
          </rPr>
          <t xml:space="preserve"> Die Anforderungen an die Steuerung des Sonnenschutzes nach dem Stand der Technik sind einzuhalten, ausgenommen bei reversibel betriebenen Wärmepumpen für Wohnbauten ohne zusätzliche aktive Kühlabgabeelemente</t>
        </r>
        <r>
          <rPr>
            <sz val="9"/>
            <color indexed="81"/>
            <rFont val="Tahoma"/>
            <family val="2"/>
          </rPr>
          <t>.
3 Bei den anderen Räumen sind die Anforderungen an den g-Wert des Sonnenschutzes nach dem
Stand der Technik einzuhalten.</t>
        </r>
      </text>
    </comment>
    <comment ref="L20" authorId="0" shapeId="0" xr:uid="{B7BF48AA-F3F5-4F5D-9BF6-6889A75AAF79}">
      <text>
        <r>
          <rPr>
            <b/>
            <sz val="9"/>
            <color indexed="81"/>
            <rFont val="Tahoma"/>
            <family val="2"/>
          </rPr>
          <t>Art. 62 Abs. 2c kEnV</t>
        </r>
        <r>
          <rPr>
            <sz val="9"/>
            <color indexed="81"/>
            <rFont val="Tahoma"/>
            <family val="2"/>
          </rPr>
          <t xml:space="preserve">
Ersetzen eines fossilen Wärmeerzeuger durch einen fossilen Wärmeerzeuger
Standardlösung Nr.3
c) Wärmepumpenboiler, der an die Heizanlage angeschlossen ist, und eine Photovoltaikanlage. Bedingung: Leistung der Photovoltaikanlage ≥ 5 Wp/m² Energiebezugsfläche
</t>
        </r>
        <r>
          <rPr>
            <b/>
            <sz val="9"/>
            <color indexed="81"/>
            <rFont val="Tahoma"/>
            <family val="2"/>
          </rPr>
          <t>Art. 63 kEnV für die Anwendung von Art. 40 Absatz 2e kEnG :</t>
        </r>
        <r>
          <rPr>
            <sz val="9"/>
            <color indexed="81"/>
            <rFont val="Tahoma"/>
            <family val="2"/>
          </rPr>
          <t xml:space="preserve">
Ersetzen von dezentralen Elektroheizungen durch dezentrale Elektroheizungen
Von dieser Pflicht sind insbesondere folgende dezentralen Elektroheizungen befreit : [...] 
e) Elektroheizungen in Gebäuden, die in den Wintermonaten über eine Elektrizitätserzeugung am Standort mit erneuerbaren Energien verfügen, die den Energiebedarf der Elektroheizung decken kann</t>
        </r>
      </text>
    </comment>
    <comment ref="L26" authorId="0" shapeId="0" xr:uid="{00000000-0006-0000-0400-000004000000}">
      <text>
        <r>
          <rPr>
            <b/>
            <sz val="9"/>
            <color indexed="81"/>
            <rFont val="Tahoma"/>
            <family val="2"/>
          </rPr>
          <t xml:space="preserve">Art. 33 kEnG
</t>
        </r>
        <r>
          <rPr>
            <sz val="9"/>
            <color indexed="81"/>
            <rFont val="Tahoma"/>
            <family val="2"/>
          </rPr>
          <t>1 Neubauten und Erweiterungen von bestehenden Gebäuden müssen einen Teil der von ihnen verbrauchten Elektrizität erzeugen. Eine Elektrizitätserzeugungsanlage muss im, auf oder in der Nähe des Gebäudes installiert werden und mindestens 20 W/m² Energiebezugsfläche erzeugen, wobei eine Leistung von mehr als 30 kW nicht vorgeschrieben ist.</t>
        </r>
      </text>
    </comment>
    <comment ref="AE32" authorId="0" shapeId="0" xr:uid="{00000000-0006-0000-0400-000005000000}">
      <text>
        <r>
          <rPr>
            <b/>
            <sz val="9"/>
            <color indexed="81"/>
            <rFont val="Tahoma"/>
            <family val="2"/>
          </rPr>
          <t xml:space="preserve">Art. 61 kEnV 
Anforderungen an die Deckung des gesamten Energiebedarfs
</t>
        </r>
        <r>
          <rPr>
            <sz val="9"/>
            <color indexed="81"/>
            <rFont val="Tahoma"/>
            <family val="2"/>
          </rPr>
          <t>1 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t>
        </r>
      </text>
    </comment>
    <comment ref="M38" authorId="0" shapeId="0" xr:uid="{00000000-0006-0000-0400-000006000000}">
      <text>
        <r>
          <rPr>
            <b/>
            <sz val="9"/>
            <color indexed="81"/>
            <rFont val="Tahoma"/>
            <family val="2"/>
          </rPr>
          <t xml:space="preserve">Art. 64 Abs. 1 kEnV 
</t>
        </r>
        <r>
          <rPr>
            <sz val="9"/>
            <color indexed="81"/>
            <rFont val="Tahoma"/>
            <family val="2"/>
          </rPr>
          <t xml:space="preserve">
Wenn die Dacheindeckung entfernt wird, muss eine Solaranlage mit einer installierten Leistung von Minimum 20 W pro m² EBF installiert werden, wobei eine Leistung von mehr als 30 kW nicht vorgeschrieben ist.
</t>
        </r>
        <r>
          <rPr>
            <b/>
            <sz val="9"/>
            <color indexed="81"/>
            <rFont val="Tahoma"/>
            <family val="2"/>
          </rPr>
          <t xml:space="preserve">Art. 43 Abs. 2 kEnG </t>
        </r>
        <r>
          <rPr>
            <sz val="9"/>
            <color indexed="81"/>
            <rFont val="Tahoma"/>
            <family val="2"/>
          </rPr>
          <t xml:space="preserve">
Gebäude mit einer Dachfläche von mehr als 500 m² müssen so ausgerüstet sein, dass sie innerhalb von 25 Jahren nach Inkrafttreten des vorliegenden Gesetzes selbst Elektrizität erzeugen. [...]
-&gt; bis zum 31.12.2049
</t>
        </r>
        <r>
          <rPr>
            <b/>
            <sz val="9"/>
            <color indexed="81"/>
            <rFont val="Tahoma"/>
            <family val="2"/>
          </rPr>
          <t xml:space="preserve">Art. 64 Abs. 5 kEnV </t>
        </r>
        <r>
          <rPr>
            <sz val="9"/>
            <color indexed="81"/>
            <rFont val="Tahoma"/>
            <family val="2"/>
          </rPr>
          <t xml:space="preserve">
In Anwendung von Artikel 43 Absatz 2 EnG muss eine Fläche mit Photovoltaikmodulen errichtet werden, die mindestens 40 Prozent der Dachfläche entspricht oder eine installierte Leistung von mindestens 20 W pro m² EBF aufweist.</t>
        </r>
      </text>
    </comment>
    <comment ref="AB50" authorId="0" shapeId="0" xr:uid="{00000000-0006-0000-0400-000007000000}">
      <text>
        <r>
          <rPr>
            <b/>
            <sz val="9"/>
            <color indexed="81"/>
            <rFont val="Tahoma"/>
            <family val="2"/>
          </rPr>
          <t xml:space="preserve">Art. 64 Abs. 2 kEnV 
</t>
        </r>
        <r>
          <rPr>
            <sz val="9"/>
            <color indexed="81"/>
            <rFont val="Tahoma"/>
            <family val="2"/>
          </rPr>
          <t xml:space="preserve">
Die Fläche der Anlage muss jedoch nicht mehr als 80 Prozent der Dachflächen betragen, deren Dacheindeckung hinterlegt ist.</t>
        </r>
      </text>
    </comment>
    <comment ref="V59" authorId="0" shapeId="0" xr:uid="{81DA005F-3978-46A2-83DE-5142F04D244B}">
      <text>
        <r>
          <rPr>
            <b/>
            <sz val="8"/>
            <color indexed="81"/>
            <rFont val="Tahoma"/>
            <family val="2"/>
          </rPr>
          <t xml:space="preserve">Art. 62 Abs. 2c kEnV 
Standardlösung Nr. 3
</t>
        </r>
        <r>
          <rPr>
            <sz val="8"/>
            <color indexed="81"/>
            <rFont val="Tahoma"/>
            <family val="2"/>
          </rPr>
          <t xml:space="preserve">
Wärmepumpenboiler, der an die Heizanlage angeschlossen ist, und eine Photovoltaikanlage. Bedingung: Leistung der Photovoltaikanlage ≥ 5 Wp/m² Energiebezugsfläche
</t>
        </r>
      </text>
    </comment>
    <comment ref="AC66" authorId="0" shapeId="0" xr:uid="{00000000-0006-0000-0400-000009000000}">
      <text>
        <r>
          <rPr>
            <b/>
            <sz val="8"/>
            <color indexed="81"/>
            <rFont val="Tahoma"/>
            <family val="2"/>
          </rPr>
          <t xml:space="preserve">Art.63 kEnV 
</t>
        </r>
        <r>
          <rPr>
            <sz val="8"/>
            <color indexed="81"/>
            <rFont val="Tahoma"/>
            <family val="2"/>
          </rPr>
          <t xml:space="preserve">[...] 
a)  der saisonale Elektrizitätsverbrauch der dezentralen Elektroheizungen bestimmt die in dem betreffenden Zeitraum zu erzeugende Elektrizitätsmenge;
b)  kann der Verbrauch nachgewiesen werden:
1. durch die Vorlage detaillierter Rechnungen der letzten 3 Jahre, oder
2. durch die Berechnung der benötigten Strommenge in kWh, indem die gesamte elektrische Leistung in kW der zur Wärmeerzeugung benötigten Geräte mit 2'300 Stunden multipliziert wird, oder
3. durch eine Simulation der benötigten Strommenge, die von einem spezialisierten Büro nach den Regeln der Technik für den betreffenden Ort über die gesamte Heizperiode durchgeführt wird;
c)  muss der Dienststelle die Berechnung der winterlichen Stromerzeugung am Standort mit dem Solarrechner von EnergieSchweiz oder einem anderen anerkannten Tool vorgelegt werden; </t>
        </r>
      </text>
    </comment>
    <comment ref="U75" authorId="0" shapeId="0" xr:uid="{BBACAB93-DF7A-42CD-8115-B65A1856BB9E}">
      <text>
        <r>
          <rPr>
            <b/>
            <sz val="8"/>
            <color indexed="81"/>
            <rFont val="Tahoma"/>
            <family val="2"/>
          </rPr>
          <t xml:space="preserve">Art .55 kEnV </t>
        </r>
        <r>
          <rPr>
            <sz val="8"/>
            <color indexed="81"/>
            <rFont val="Tahoma"/>
            <family val="2"/>
          </rPr>
          <t xml:space="preserve">
Der gewichtete jährliche Energiebedarf für Heizung, Warmwasserbereitung, Lüftung und Kühlung in neu zu errichtenden Gebäuden und Erweiterungen (Aufstockungen, Anbauten usw.) darf der Grenzwert EHWLK nicht überschreiten.
</t>
        </r>
      </text>
    </comment>
    <comment ref="N84" authorId="0" shapeId="0" xr:uid="{00000000-0006-0000-0400-00000B000000}">
      <text>
        <r>
          <rPr>
            <sz val="8"/>
            <color indexed="81"/>
            <rFont val="Tahoma"/>
            <family val="2"/>
          </rPr>
          <t>Werte vom Formular EN-VS-110 übernehmen</t>
        </r>
      </text>
    </comment>
    <comment ref="AE84" authorId="0" shapeId="0" xr:uid="{00000000-0006-0000-0400-00000C000000}">
      <text>
        <r>
          <rPr>
            <sz val="8"/>
            <color indexed="81"/>
            <rFont val="Tahoma"/>
            <family val="2"/>
          </rPr>
          <t>Werte vom Formular EN-VS-110 übernehmen</t>
        </r>
      </text>
    </comment>
    <comment ref="N87" authorId="0" shapeId="0" xr:uid="{00000000-0006-0000-0400-00000D000000}">
      <text>
        <r>
          <rPr>
            <sz val="9"/>
            <color indexed="81"/>
            <rFont val="Tahoma"/>
            <family val="2"/>
          </rPr>
          <t>Simulation der benötigten Strommenge durch ein spezialisiertes Büro erstellt</t>
        </r>
      </text>
    </comment>
    <comment ref="AE87" authorId="0" shapeId="0" xr:uid="{00000000-0006-0000-0400-00000E000000}">
      <text>
        <r>
          <rPr>
            <sz val="9"/>
            <color indexed="81"/>
            <rFont val="Tahoma"/>
            <family val="2"/>
          </rPr>
          <t xml:space="preserve">Simulation der benötigten Strommenge durch ein spezialisiertes Büro erstellt
</t>
        </r>
      </text>
    </comment>
    <comment ref="N101" authorId="0" shapeId="0" xr:uid="{00000000-0006-0000-0400-00000F000000}">
      <text>
        <r>
          <rPr>
            <sz val="8"/>
            <color indexed="81"/>
            <rFont val="Tahoma"/>
            <family val="2"/>
          </rPr>
          <t>Werte vom Formular EN-VS-110 überzunehmen</t>
        </r>
      </text>
    </comment>
    <comment ref="AE101" authorId="0" shapeId="0" xr:uid="{00000000-0006-0000-0400-000010000000}">
      <text>
        <r>
          <rPr>
            <sz val="8"/>
            <color indexed="81"/>
            <rFont val="Tahoma"/>
            <family val="2"/>
          </rPr>
          <t>Werte vom Formular EN-VS-110 übernehmen</t>
        </r>
      </text>
    </comment>
    <comment ref="N104" authorId="0" shapeId="0" xr:uid="{00000000-0006-0000-0400-000011000000}">
      <text>
        <r>
          <rPr>
            <sz val="9"/>
            <color indexed="81"/>
            <rFont val="Tahoma"/>
            <family val="2"/>
          </rPr>
          <t xml:space="preserve">Simulation der benötigten Strommenge durch ein spezialisiertes Büro erstellt
</t>
        </r>
      </text>
    </comment>
    <comment ref="AE104" authorId="0" shapeId="0" xr:uid="{00000000-0006-0000-0400-000012000000}">
      <text>
        <r>
          <rPr>
            <sz val="9"/>
            <color indexed="81"/>
            <rFont val="Tahoma"/>
            <family val="2"/>
          </rPr>
          <t>Simulation der benötigten Strommenge durch ein spezialisiertes Büro erstellt</t>
        </r>
        <r>
          <rPr>
            <b/>
            <sz val="9"/>
            <color indexed="81"/>
            <rFont val="Tahoma"/>
            <family val="2"/>
          </rPr>
          <t xml:space="preserve">
</t>
        </r>
      </text>
    </comment>
    <comment ref="F106" authorId="0" shapeId="0" xr:uid="{00000000-0006-0000-0400-000013000000}">
      <text>
        <r>
          <rPr>
            <b/>
            <sz val="9"/>
            <color indexed="81"/>
            <rFont val="Tahoma"/>
            <family val="2"/>
          </rPr>
          <t xml:space="preserve">Auszug aus der Vollzugshilfe EN-VS-102 
Kälteanlage: Zusätzlicher Energieverbrauch in Verbindung mit Sonnenschutzeinrichtungen
</t>
        </r>
        <r>
          <rPr>
            <sz val="9"/>
            <color indexed="81"/>
            <rFont val="Tahoma"/>
            <family val="2"/>
          </rPr>
          <t xml:space="preserve">
Sonnenschutzeinrichtungen für Räume, die von Kühlanlagen profitieren, müssen automatisiert sein und die Anforderungen der Norm SIA 382/1:2014 erfüllen. 
Je nach Art des Sonnenschutzes könnte eine Anpassung zur Erfüllung der Automatisierungsanforderung in bestehenden Gebäuden unverhältnismässig aufwändig sein, es sei denn, die Arbeiten sind im Rahmen einer Fassaden- oder Dachsanierung (auch bei Einbau von Dachfenstern) geplant. Für Fälle, in denen ein solches Missverhältnis eindeutig nachgewiesen ist, muss die zusätzliche elektrische Energie, die aus einer "Überproduktion von Kühlenergie mit Sonnenschutzeinrichtungen" resultiert, durch eine eigene Stromerzeugung vor Ort ausgeglichen werden.
In Anlehnung an Art. 60 Abs. 2 kEnV und abhängig von der Art des Sonnenschutzes (gemäss SIA 382/1) kann diese zusätzliche elektrische Energie in kWh vereinfacht berechnet werden, indem die gesamte elektrische Leistung in kW der für die Kälteerzeugung und -verteilung notwendigen Geräte mit den folgenden Stundenzuschlägen multipliziert wird:
• 500 h/Jahr bei unzureichendem aussenliegendem Sonnenschutz, manuell bedienbar;
• 1'000 h/Jahr bei innenliegendem oder nicht vorhandenem Sonnenschutz.
Bei der Nutzung erneuerbarer Energien für die Kühlung (Grundwasser, Wasserläufe, Erdwärme, usw.) ist keine Kompensation erforderlich. Für eine Komfortkühlung empfiehlt es sich, die Raumtemperatur auf 28°C einzustellen.
</t>
        </r>
        <r>
          <rPr>
            <b/>
            <sz val="9"/>
            <color indexed="81"/>
            <rFont val="Tahoma"/>
            <family val="2"/>
          </rPr>
          <t xml:space="preserve">Befreiungen
</t>
        </r>
        <r>
          <rPr>
            <sz val="9"/>
            <color indexed="81"/>
            <rFont val="Tahoma"/>
            <family val="2"/>
          </rPr>
          <t xml:space="preserve">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t>
        </r>
        <r>
          <rPr>
            <b/>
            <sz val="9"/>
            <color indexed="81"/>
            <rFont val="Tahoma"/>
            <family val="2"/>
          </rPr>
          <t>Gemäss dem am 29.08.2025 von ENDK verabschiedeten Mopec 2025 :</t>
        </r>
        <r>
          <rPr>
            <sz val="9"/>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9"/>
            <color indexed="81"/>
            <rFont val="Tahoma"/>
            <family val="2"/>
          </rPr>
          <t>Die Anforderungen an die Steuerung des Sonnenschutzes nach dem Stand der Technik sind einzuhalten, ausgenommen bei reversibel betriebenen Wärmepumpen für Wohnbauten ohne zusätzliche aktive Kühlabgabeelemente.</t>
        </r>
        <r>
          <rPr>
            <sz val="9"/>
            <color indexed="81"/>
            <rFont val="Tahoma"/>
            <family val="2"/>
          </rPr>
          <t xml:space="preserve">
3 Bei den anderen Räumen sind die Anforderungen an den g-Wert des Sonnenschutzes nach dem
Stand der Technik einzuhalten.</t>
        </r>
      </text>
    </comment>
    <comment ref="G113" authorId="0" shapeId="0" xr:uid="{00000000-0006-0000-0400-000014000000}">
      <text>
        <r>
          <rPr>
            <sz val="9"/>
            <color indexed="81"/>
            <rFont val="Tahoma"/>
            <family val="2"/>
          </rPr>
          <t>Gemäss Norm SIA 382/1 (Kap.5.6) 
und EN-VS-110</t>
        </r>
      </text>
    </comment>
    <comment ref="L117" authorId="0" shapeId="0" xr:uid="{00000000-0006-0000-0400-000015000000}">
      <text>
        <r>
          <rPr>
            <b/>
            <sz val="9"/>
            <color indexed="81"/>
            <rFont val="Tahoma"/>
            <family val="2"/>
          </rPr>
          <t xml:space="preserve">EER maximal gemäss Stand der Technik </t>
        </r>
        <r>
          <rPr>
            <sz val="9"/>
            <color indexed="81"/>
            <rFont val="Tahoma"/>
            <family val="2"/>
          </rPr>
          <t xml:space="preserve">
Gemäss Norm SIA 382/1  
Kapitel 5.6 Kälteerzeugung
EER extrapoliert gemäss Vollzugshilfe Kapitel 5.6 Kälteerzeugung
</t>
        </r>
      </text>
    </comment>
    <comment ref="AB129" authorId="0" shapeId="0" xr:uid="{00000000-0006-0000-0400-000017000000}">
      <text>
        <r>
          <rPr>
            <b/>
            <sz val="9"/>
            <color indexed="81"/>
            <rFont val="Tahoma"/>
            <family val="2"/>
          </rPr>
          <t>Simulieren eine Anlage am Standort des betreffenden Projekts :</t>
        </r>
        <r>
          <rPr>
            <sz val="9"/>
            <color indexed="81"/>
            <rFont val="Tahoma"/>
            <family val="2"/>
          </rPr>
          <t xml:space="preserve">
- gemäss Adresse
- gemäss Orientierung und Dachneigung
- Leistung ist hier nicht relevant
</t>
        </r>
        <r>
          <rPr>
            <b/>
            <sz val="9"/>
            <color indexed="81"/>
            <rFont val="Tahoma"/>
            <family val="2"/>
          </rPr>
          <t xml:space="preserve">
Hier unten eintragen :</t>
        </r>
        <r>
          <rPr>
            <sz val="9"/>
            <color indexed="81"/>
            <rFont val="Tahoma"/>
            <family val="2"/>
          </rPr>
          <t xml:space="preserve">
- monatliche Elektrizitätserzeugung [kWh]
- Leistung der simulierte Anlage
</t>
        </r>
        <r>
          <rPr>
            <b/>
            <sz val="9"/>
            <color indexed="81"/>
            <rFont val="Tahoma"/>
            <family val="2"/>
          </rPr>
          <t>Solarrechner von Energie Schweiz :</t>
        </r>
        <r>
          <rPr>
            <sz val="9"/>
            <color indexed="81"/>
            <rFont val="Tahoma"/>
            <family val="2"/>
          </rPr>
          <t xml:space="preserve">
https://www.energieschweiz.ch/tools/solarrechner/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E12" authorId="0" shapeId="0" xr:uid="{CC2E447E-94B0-4134-979F-EBD2299146D8}">
      <text>
        <r>
          <rPr>
            <b/>
            <sz val="9"/>
            <color indexed="81"/>
            <rFont val="Tahoma"/>
            <family val="2"/>
          </rPr>
          <t xml:space="preserve">Simulieren Sie die erforderliche Solaranlage am ursprünglichen Standort :
</t>
        </r>
        <r>
          <rPr>
            <sz val="9"/>
            <color indexed="81"/>
            <rFont val="Tahoma"/>
            <family val="2"/>
          </rPr>
          <t xml:space="preserve">- nach Adresse
- die Wahl der simulierten Leistung ist hier nicht von Bedeutung
</t>
        </r>
        <r>
          <rPr>
            <b/>
            <sz val="9"/>
            <color indexed="81"/>
            <rFont val="Tahoma"/>
            <family val="2"/>
          </rPr>
          <t xml:space="preserve">
Tragen Sie unten ein :
</t>
        </r>
        <r>
          <rPr>
            <sz val="9"/>
            <color indexed="81"/>
            <rFont val="Tahoma"/>
            <family val="2"/>
          </rPr>
          <t>- die Leistung der simulierten Anlage
- die Stromerzeugung in [kWh] für jeden Monat</t>
        </r>
        <r>
          <rPr>
            <b/>
            <sz val="9"/>
            <color indexed="81"/>
            <rFont val="Tahoma"/>
            <family val="2"/>
          </rPr>
          <t xml:space="preserve">
Rechner von Energie Schweiz:</t>
        </r>
        <r>
          <rPr>
            <sz val="9"/>
            <color indexed="81"/>
            <rFont val="Tahoma"/>
            <family val="2"/>
          </rPr>
          <t xml:space="preserve">
https://www.suisseenergie.ch/tools/calculateur-solaire/</t>
        </r>
      </text>
    </comment>
    <comment ref="W22" authorId="0" shapeId="0" xr:uid="{5008DE23-6A35-43B0-A544-75DE63FED56C}">
      <text>
        <r>
          <rPr>
            <b/>
            <sz val="9"/>
            <color indexed="81"/>
            <rFont val="Tahoma"/>
            <family val="2"/>
          </rPr>
          <t xml:space="preserve">Gemäss des Schreibens, mit dem die DEWK die Registrierung der PV-Anlage 
Tragen Sie unten ein:
</t>
        </r>
        <r>
          <rPr>
            <sz val="9"/>
            <color indexed="81"/>
            <rFont val="Tahoma"/>
            <family val="2"/>
          </rPr>
          <t xml:space="preserve">- die Leistung der Solaranlage
- die Stromerzeugung in [kWh] für jeden Monat
</t>
        </r>
      </text>
    </comment>
    <comment ref="U32" authorId="0" shapeId="0" xr:uid="{5C8FA3DC-5F10-42BA-86BA-1F53A323CDFF}">
      <text>
        <r>
          <rPr>
            <sz val="9"/>
            <color indexed="81"/>
            <rFont val="Tahoma"/>
            <family val="2"/>
          </rPr>
          <t>Gemäss Anhang zum Registrierungsschreiben für die partizipative Photovoltaikanlage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5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4" authorId="0" shapeId="0" xr:uid="{00000000-0006-0000-05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5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C57" authorId="0" shapeId="0" xr:uid="{00000000-0006-0000-05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D71" authorId="0" shapeId="0" xr:uid="{00000000-0006-0000-0500-000005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t>
        </r>
      </text>
    </comment>
    <comment ref="O76" authorId="0" shapeId="0" xr:uid="{00000000-0006-0000-0500-000006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8" authorId="0" shapeId="0" xr:uid="{00000000-0006-0000-0500-000007000000}">
      <text>
        <r>
          <rPr>
            <sz val="8"/>
            <color indexed="81"/>
            <rFont val="Tahoma"/>
            <family val="2"/>
          </rPr>
          <t>Valeur à reprendre depuis formulaire EN-VS-110</t>
        </r>
      </text>
    </comment>
    <comment ref="AA83" authorId="0" shapeId="0" xr:uid="{00000000-0006-0000-0500-000008000000}">
      <text>
        <r>
          <rPr>
            <b/>
            <sz val="9"/>
            <color indexed="81"/>
            <rFont val="Tahoma"/>
            <family val="2"/>
          </rPr>
          <t>En cas de simulation de production effectuée par un bureau spécialisé</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4" authorId="0" shapeId="0" xr:uid="{00000000-0006-0000-0500-000009000000}">
      <text>
        <r>
          <rPr>
            <sz val="9"/>
            <color indexed="81"/>
            <rFont val="Tahoma"/>
            <family val="2"/>
          </rPr>
          <t>Valeur à reprendre depuis formulaire EN-VS-110</t>
        </r>
      </text>
    </comment>
    <comment ref="V101" authorId="0" shapeId="0" xr:uid="{00000000-0006-0000-0500-00000A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4" authorId="0" shapeId="0" xr:uid="{00000000-0006-0000-0500-00000B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H17" authorId="0" shapeId="0" xr:uid="{00000000-0006-0000-0600-000001000000}">
      <text>
        <r>
          <rPr>
            <b/>
            <sz val="9"/>
            <color indexed="81"/>
            <rFont val="Tahoma"/>
            <family val="2"/>
          </rPr>
          <t xml:space="preserve">Selon aide à l'application &amp; Mopec 2014
</t>
        </r>
        <r>
          <rPr>
            <sz val="9"/>
            <color indexed="81"/>
            <rFont val="Tahoma"/>
            <family val="2"/>
          </rPr>
          <t>Pour un système de rafraichissement passif, par exemple du free cooling à partir de sondes géothermiques, la commande automatique n’est pas exigée. La seule utilisation de pompes de circulation n’est pas considérée comme du rafraichissement actif.</t>
        </r>
      </text>
    </comment>
    <comment ref="AC55" authorId="0" shapeId="0" xr:uid="{00000000-0006-0000-0600-000002000000}">
      <text>
        <r>
          <rPr>
            <b/>
            <sz val="9"/>
            <color indexed="81"/>
            <rFont val="Tahoma"/>
            <family val="2"/>
          </rPr>
          <t xml:space="preserve">1-simulation calculateur solaire 12 mois
2-puissance spécifique mensuelle
3-besoins selon période
chauffe, Sion
chauffe, Montana
rafraîch
déshumid
4-bilan besoins kWh
orientation + puissance spécif
</t>
        </r>
      </text>
    </comment>
    <comment ref="W57" authorId="0" shapeId="0" xr:uid="{00000000-0006-0000-0600-000003000000}">
      <text>
        <r>
          <rPr>
            <b/>
            <sz val="8"/>
            <color indexed="81"/>
            <rFont val="Tahoma"/>
            <family val="2"/>
          </rPr>
          <t xml:space="preserve">Solution standard 3
</t>
        </r>
        <r>
          <rPr>
            <sz val="8"/>
            <color indexed="81"/>
            <rFont val="Tahoma"/>
            <family val="2"/>
          </rPr>
          <t xml:space="preserve">
mise en place d’un chauffe-eau pompe à chaleur raccordé à l'installation de chauffage et pose d’une installation solaire photovoltaïque – condition: puissance de l'installation solaire photovoltaïque ≥ 5 Wc par m² de surface de référence énergétique;</t>
        </r>
      </text>
    </comment>
    <comment ref="AE62" authorId="0" shapeId="0" xr:uid="{00000000-0006-0000-0600-000004000000}">
      <text>
        <r>
          <rPr>
            <b/>
            <sz val="9"/>
            <color indexed="81"/>
            <rFont val="Tahoma"/>
            <family val="2"/>
          </rPr>
          <t xml:space="preserve">Période hivernale = ?
</t>
        </r>
        <r>
          <rPr>
            <sz val="9"/>
            <color indexed="81"/>
            <rFont val="Tahoma"/>
            <family val="2"/>
          </rPr>
          <t xml:space="preserve">Proposition:
2 périodes selon les stations VS
même principe que froid et humidif
Sion -&gt; octobre à avril (7 mois)
Montana -&gt; septembre à mai (9 mois)
A valider selon SIA 2028 !! </t>
        </r>
      </text>
    </comment>
    <comment ref="AC64" authorId="0" shapeId="0" xr:uid="{00000000-0006-0000-0600-000005000000}">
      <text>
        <r>
          <rPr>
            <b/>
            <sz val="8"/>
            <color indexed="81"/>
            <rFont val="Tahoma"/>
            <family val="2"/>
          </rPr>
          <t xml:space="preserve">OcEne art.63
</t>
        </r>
        <r>
          <rPr>
            <sz val="8"/>
            <color indexed="81"/>
            <rFont val="Tahoma"/>
            <family val="2"/>
          </rPr>
          <t xml:space="preserve">[...] 
a)  la consommation d’électricité saisonnière des chauffages électriques décentralisés détermine la quantité d’électricité à produire durant la période considérée;
b)  la consommation peut être démontrée:
1. par la remise des factures détaillées des 3 dernières années, ou
2. par le calcul de la quantité d’électricité nécessaire en kWh, en multipliant par 2’300 heures la puissance électrique totale en kW des appareils nécessaires à la production de chaleur, ou
3. par une simulation de la quantité d’électricité nécessaire, réalisée par un bureau spécialisé et effectuée dans les règles de l’art, pour le lieu considéré sur l’ensemble de la période de chauffe;
c)  le calcul de la production hivernale d’énergie électrique sur site, réalisé au moyen du calculateur solaire de Suisse Energie ou d’un autre outil reconnu, doit être présenté au service;  </t>
        </r>
      </text>
    </comment>
    <comment ref="W72" authorId="0" shapeId="0" xr:uid="{00000000-0006-0000-0600-000006000000}">
      <text>
        <r>
          <rPr>
            <b/>
            <sz val="8"/>
            <color indexed="81"/>
            <rFont val="Tahoma"/>
            <family val="2"/>
          </rPr>
          <t>OcEne art.55</t>
        </r>
        <r>
          <rPr>
            <sz val="8"/>
            <color indexed="81"/>
            <rFont val="Tahoma"/>
            <family val="2"/>
          </rPr>
          <t xml:space="preserve">
Les besoins d'énergie annuels pondérés pour le chauffage, la préparation de l'eau chaude sanitaire, la ventilation et le rafraîchissement dans les bâtiments à construire et les agrandissements (surélévations, annexes, etc.), ne doivent pas dépasser les valeurs limites EHWLK
</t>
        </r>
        <r>
          <rPr>
            <b/>
            <sz val="8"/>
            <color indexed="81"/>
            <rFont val="Tahoma"/>
            <family val="2"/>
          </rPr>
          <t>Rafraîchissement et PAC réversible</t>
        </r>
        <r>
          <rPr>
            <sz val="8"/>
            <color indexed="81"/>
            <rFont val="Tahoma"/>
            <family val="2"/>
          </rPr>
          <t xml:space="preserve">
Une PAC réversible, qui est équipée pour faire du rafraîchissement, doit être considérée en tant que telle et ce, même si l'option de rafraîchissement n'est pas utilisée/activée.</t>
        </r>
      </text>
    </comment>
    <comment ref="N77" authorId="0" shapeId="0" xr:uid="{00000000-0006-0000-0600-000007000000}">
      <text>
        <r>
          <rPr>
            <b/>
            <sz val="9"/>
            <color indexed="81"/>
            <rFont val="Tahoma"/>
            <family val="2"/>
          </rPr>
          <t>Tanina Menoud:</t>
        </r>
        <r>
          <rPr>
            <sz val="9"/>
            <color indexed="81"/>
            <rFont val="Tahoma"/>
            <family val="2"/>
          </rPr>
          <t xml:space="preserve">
Ajouter remarque pour PAC réversible sans activation de froid, à intégrer même si pas utilisé)</t>
        </r>
      </text>
    </comment>
    <comment ref="M79" authorId="0" shapeId="0" xr:uid="{00000000-0006-0000-0600-000008000000}">
      <text>
        <r>
          <rPr>
            <sz val="8"/>
            <color indexed="81"/>
            <rFont val="Tahoma"/>
            <family val="2"/>
          </rPr>
          <t>Valeur à reprendre depuis formulaire EN-VS-110</t>
        </r>
      </text>
    </comment>
    <comment ref="AC84" authorId="0" shapeId="0" xr:uid="{00000000-0006-0000-0600-000009000000}">
      <text>
        <r>
          <rPr>
            <b/>
            <sz val="9"/>
            <color indexed="81"/>
            <rFont val="Tahoma"/>
            <family val="2"/>
          </rPr>
          <t xml:space="preserve">En cas de simulation de production effectuée par un bureau spécialisé
</t>
        </r>
        <r>
          <rPr>
            <sz val="9"/>
            <color indexed="81"/>
            <rFont val="Tahoma"/>
            <family val="2"/>
          </rPr>
          <t xml:space="preserve">
Valeur à saisir manuellement en cas de simulation de la quantité d’électricité nécessaire, réalisée par un bureau spécialisé et effectuée dans les règles de l’art (OcEne art.60 al.1, 3 et 4)</t>
        </r>
      </text>
    </comment>
    <comment ref="M93" authorId="0" shapeId="0" xr:uid="{00000000-0006-0000-0600-00000A000000}">
      <text>
        <r>
          <rPr>
            <sz val="9"/>
            <color indexed="81"/>
            <rFont val="Tahoma"/>
            <family val="2"/>
          </rPr>
          <t>Valeur à reprendre depuis formulaire EN-VS-110</t>
        </r>
      </text>
    </comment>
    <comment ref="V100" authorId="0" shapeId="0" xr:uid="{00000000-0006-0000-0600-00000B000000}">
      <text>
        <r>
          <rPr>
            <sz val="9"/>
            <color indexed="81"/>
            <rFont val="Tahoma"/>
            <family val="2"/>
          </rPr>
          <t>PYC
Rediscuter des let.a et b. de l'art. 42 OcEne 
si &gt;12W/m2 et T eau froide conforme -&gt; que faire ?
- compenser ou non ?
- let.a avant let b. ?
- ou -&gt; ou bien / sinon ?
Réponse:
a)
ensuite
b)
calculer</t>
        </r>
      </text>
    </comment>
    <comment ref="V151" authorId="0" shapeId="0" xr:uid="{00000000-0006-0000-0600-00000C000000}">
      <text>
        <r>
          <rPr>
            <b/>
            <sz val="9"/>
            <color indexed="81"/>
            <rFont val="Tahoma"/>
            <family val="2"/>
          </rPr>
          <t>Tanina Menoud:</t>
        </r>
        <r>
          <rPr>
            <sz val="9"/>
            <color indexed="81"/>
            <rFont val="Tahoma"/>
            <family val="2"/>
          </rPr>
          <t xml:space="preserve">
pas de participation financière possible pour les solutions standards dans le cadre de remplacement de chauffage art.62 OcEne</t>
        </r>
      </text>
    </comment>
  </commentList>
</comments>
</file>

<file path=xl/sharedStrings.xml><?xml version="1.0" encoding="utf-8"?>
<sst xmlns="http://schemas.openxmlformats.org/spreadsheetml/2006/main" count="1713" uniqueCount="714">
  <si>
    <t>Commune :</t>
  </si>
  <si>
    <t>Objet :</t>
  </si>
  <si>
    <t>Domaine d'application</t>
  </si>
  <si>
    <t>Explications/motifs de non-conformité et demande de dérogation</t>
  </si>
  <si>
    <t>Signatures</t>
  </si>
  <si>
    <t>Responsable :</t>
  </si>
  <si>
    <t>tél / mail :</t>
  </si>
  <si>
    <t>Nom et adresse
de l'entreprise :</t>
  </si>
  <si>
    <t>Lieu, date et signature :</t>
  </si>
  <si>
    <t>Justificatif établi par :</t>
  </si>
  <si>
    <t>I. habitat collectif</t>
  </si>
  <si>
    <t>II. habitat individuel</t>
  </si>
  <si>
    <t>III. administration</t>
  </si>
  <si>
    <t>IV. école</t>
  </si>
  <si>
    <t>V. commerce</t>
  </si>
  <si>
    <t>VI. restauration</t>
  </si>
  <si>
    <t>X. dépôt</t>
  </si>
  <si>
    <t>VII. lieu de rassemblement</t>
  </si>
  <si>
    <t>VIII. hôpital</t>
  </si>
  <si>
    <t>IX. industrie</t>
  </si>
  <si>
    <t>XI. installation sportive</t>
  </si>
  <si>
    <t>XII. piscine couverte</t>
  </si>
  <si>
    <t>AFFECTATION</t>
  </si>
  <si>
    <t>ECS</t>
  </si>
  <si>
    <t>ÉLEC</t>
  </si>
  <si>
    <t>CELLULES  À  COCHER</t>
  </si>
  <si>
    <t>solaire PV - ECS</t>
  </si>
  <si>
    <t>solaire thermique - ECS</t>
  </si>
  <si>
    <t>solaire PV - élec</t>
  </si>
  <si>
    <t>solaire PV - confort</t>
  </si>
  <si>
    <r>
      <t>P</t>
    </r>
    <r>
      <rPr>
        <b/>
        <vertAlign val="subscript"/>
        <sz val="10"/>
        <color rgb="FF000000"/>
        <rFont val="Arial"/>
        <family val="2"/>
      </rPr>
      <t>unitaire</t>
    </r>
    <r>
      <rPr>
        <b/>
        <sz val="10"/>
        <color rgb="FF000000"/>
        <rFont val="Arial"/>
        <family val="2"/>
      </rPr>
      <t xml:space="preserve"> des panneaux [Wc]</t>
    </r>
  </si>
  <si>
    <t>dénomination de l'installation</t>
  </si>
  <si>
    <t>est bien supérieure aux exigences légales de</t>
  </si>
  <si>
    <t xml:space="preserve">ne répond pas aux exigences légales de </t>
  </si>
  <si>
    <t>PHRASE DE CONCLUSION</t>
  </si>
  <si>
    <t>La production d'électricité solaire totale annuelle estimée à</t>
  </si>
  <si>
    <t>Service de l'énergie et des forces hydrauliques</t>
  </si>
  <si>
    <t>SRE existant :</t>
  </si>
  <si>
    <t>Part :</t>
  </si>
  <si>
    <t>%</t>
  </si>
  <si>
    <t>Rénovation de la toiture et de toutes les façades contre extérieur</t>
  </si>
  <si>
    <t>Rénovation seulement du pan Nord de la toiture</t>
  </si>
  <si>
    <t>Installation de rafraîchissement</t>
  </si>
  <si>
    <t>[kW]</t>
  </si>
  <si>
    <t>(dés)humidification</t>
  </si>
  <si>
    <t>kWh</t>
  </si>
  <si>
    <t>[kWh]</t>
  </si>
  <si>
    <t>froid</t>
  </si>
  <si>
    <t>avril à septembre</t>
  </si>
  <si>
    <t>novembre à février</t>
  </si>
  <si>
    <t>Production électricité solaire requise</t>
  </si>
  <si>
    <t>Puissance installation solaire requise</t>
  </si>
  <si>
    <t>production de...</t>
  </si>
  <si>
    <t>électricité à produire de...</t>
  </si>
  <si>
    <t>Nouvelle construction/agrandissement</t>
  </si>
  <si>
    <t>production annuelle [kWh]</t>
  </si>
  <si>
    <t>(pour rafraîchissement, (dés)humidification)</t>
  </si>
  <si>
    <t>Exigences pour la production de froid :</t>
  </si>
  <si>
    <t>EER machine froid conforme ?</t>
  </si>
  <si>
    <t>Bâtiment d'habitation - cat. I ou II selon SIA 380/1</t>
  </si>
  <si>
    <t>température eau froide conforme ?</t>
  </si>
  <si>
    <t>Puissances électriques totales :</t>
  </si>
  <si>
    <t>Classe CECB C (performance globale) ou meilleure après rénovation (fournir certificat en annexe)</t>
  </si>
  <si>
    <t>Bâtiment utilisé de manière saisonnière, mai à octobre (selon OcEne art.64 al.4)</t>
  </si>
  <si>
    <t>Surface nette de plancher à rafraîchir</t>
  </si>
  <si>
    <t>EER état technique</t>
  </si>
  <si>
    <t>selon simulation conforme à OcEne art.60 al.4</t>
  </si>
  <si>
    <t>selon calcul simplifié</t>
  </si>
  <si>
    <t xml:space="preserve">Production électricité solaire requise </t>
  </si>
  <si>
    <t>Annexes / documents à fournir</t>
  </si>
  <si>
    <t>EER machine projet</t>
  </si>
  <si>
    <t>LcEne art.34 + OcEne art.42</t>
  </si>
  <si>
    <t>LcEne art.43 + OcEne art.64</t>
  </si>
  <si>
    <t>LcEne art.33 + OcEne art.58</t>
  </si>
  <si>
    <t>https://www.solaire1300.ch/f/panneaux-energie-solaire/rayonnement-solaire-heure.asp</t>
  </si>
  <si>
    <t>Panneaux solaires photovoltaïques – energie-environnement.ch</t>
  </si>
  <si>
    <t>EN-VS-104</t>
  </si>
  <si>
    <t xml:space="preserve">Projet d'intérêt cantonal </t>
  </si>
  <si>
    <t>Remplacement d'installations techniques</t>
  </si>
  <si>
    <t>[kWc]</t>
  </si>
  <si>
    <t>N° parcelle :</t>
  </si>
  <si>
    <t>SRE neuf :</t>
  </si>
  <si>
    <t>kWc</t>
  </si>
  <si>
    <t>taux de conversion kWh par kWc:</t>
  </si>
  <si>
    <t>Energie équivalente correspondante</t>
  </si>
  <si>
    <t>Energie nécessaire au chauffage électrique</t>
  </si>
  <si>
    <t>(Bâtiments dès cat. III)</t>
  </si>
  <si>
    <t>habitat</t>
  </si>
  <si>
    <t>pas-habitat</t>
  </si>
  <si>
    <t>total production</t>
  </si>
  <si>
    <t>énergie à fournir 3a + 3b</t>
  </si>
  <si>
    <t>énergie à fournir 2b</t>
  </si>
  <si>
    <t>énergie à fournir 2a</t>
  </si>
  <si>
    <t>énergie à fournir 1</t>
  </si>
  <si>
    <t>Total production électrique propre requise</t>
  </si>
  <si>
    <t>pas de max exigible</t>
  </si>
  <si>
    <t>ici max 30kWc (33'000 kWh) exigible</t>
  </si>
  <si>
    <t>total requis</t>
  </si>
  <si>
    <t>Production propre d'électricité totale annuelle :</t>
  </si>
  <si>
    <t>Mode de production :</t>
  </si>
  <si>
    <t>Production propre d'électricité projetée</t>
  </si>
  <si>
    <t>- production solaire photovoltaïque - dimmensionnement des champs solaires photovoltaïques</t>
  </si>
  <si>
    <t>- autres installations de production d'électricité</t>
  </si>
  <si>
    <t>production annuelle</t>
  </si>
  <si>
    <t>Agrandissement d'un bâtiment labellisé Minergie et disposant d'une installation photovoltaïque,</t>
  </si>
  <si>
    <t xml:space="preserve"> CECB A/A, Minergie-P, Minergie-A ou Minergie-Quartier</t>
  </si>
  <si>
    <t>Récapitulatif de la production d'électricité propre requise</t>
  </si>
  <si>
    <t xml:space="preserve">surplus consommation électrique à compenser </t>
  </si>
  <si>
    <t>, il manque</t>
  </si>
  <si>
    <t>nbre de panneaux</t>
  </si>
  <si>
    <t>N° cadastre:</t>
  </si>
  <si>
    <t>EGID :</t>
  </si>
  <si>
    <r>
      <t>[m</t>
    </r>
    <r>
      <rPr>
        <i/>
        <vertAlign val="superscript"/>
        <sz val="10"/>
        <color rgb="FF000000"/>
        <rFont val="Arial"/>
        <family val="2"/>
      </rPr>
      <t>2</t>
    </r>
    <r>
      <rPr>
        <i/>
        <sz val="10"/>
        <color rgb="FF000000"/>
        <rFont val="Arial"/>
        <family val="2"/>
      </rPr>
      <t>]</t>
    </r>
  </si>
  <si>
    <r>
      <t>[m</t>
    </r>
    <r>
      <rPr>
        <i/>
        <vertAlign val="superscript"/>
        <sz val="10"/>
        <rFont val="Arial"/>
        <family val="2"/>
      </rPr>
      <t>2</t>
    </r>
    <r>
      <rPr>
        <i/>
        <sz val="10"/>
        <rFont val="Arial"/>
        <family val="2"/>
      </rPr>
      <t>]</t>
    </r>
  </si>
  <si>
    <r>
      <t>[W/m</t>
    </r>
    <r>
      <rPr>
        <i/>
        <vertAlign val="superscript"/>
        <sz val="10"/>
        <color rgb="FF000000"/>
        <rFont val="Arial"/>
        <family val="2"/>
      </rPr>
      <t>2</t>
    </r>
    <r>
      <rPr>
        <i/>
        <sz val="10"/>
        <color rgb="FF000000"/>
        <rFont val="Arial"/>
        <family val="2"/>
      </rPr>
      <t>]</t>
    </r>
  </si>
  <si>
    <r>
      <t>[W/m</t>
    </r>
    <r>
      <rPr>
        <b/>
        <i/>
        <vertAlign val="superscript"/>
        <sz val="10"/>
        <rFont val="Arial"/>
        <family val="2"/>
      </rPr>
      <t>2</t>
    </r>
    <r>
      <rPr>
        <b/>
        <i/>
        <sz val="10"/>
        <rFont val="Arial"/>
        <family val="2"/>
      </rPr>
      <t>]</t>
    </r>
  </si>
  <si>
    <t>1= &lt;1000m2</t>
  </si>
  <si>
    <t>1= &gt;50m2</t>
  </si>
  <si>
    <t>1=que du neuf</t>
  </si>
  <si>
    <t>&gt;20%=soumis</t>
  </si>
  <si>
    <t>1= &lt;20%</t>
  </si>
  <si>
    <t>part neuf</t>
  </si>
  <si>
    <r>
      <t>Solution standard n°3, remplacement de chaudière (</t>
    </r>
    <r>
      <rPr>
        <i/>
        <sz val="10"/>
        <rFont val="Arial"/>
        <family val="2"/>
      </rPr>
      <t>OcEne art. 62 al.2c</t>
    </r>
    <r>
      <rPr>
        <sz val="10"/>
        <rFont val="Arial"/>
        <family val="2"/>
      </rPr>
      <t xml:space="preserve">): </t>
    </r>
  </si>
  <si>
    <t>Remplacement chaudière et/ou chauffage électrique</t>
  </si>
  <si>
    <r>
      <t xml:space="preserve">Couverture de l'énergie nécessaire au chauffage électrique </t>
    </r>
    <r>
      <rPr>
        <i/>
        <sz val="10"/>
        <rFont val="Arial"/>
        <family val="2"/>
      </rPr>
      <t>(LcEne art.40 al.2e + OcEne art.63)</t>
    </r>
  </si>
  <si>
    <t>LcEne art.39-40 + OcEne art.63 (chauffages électriques) + OcEne art.62 (remplacement chaudière)</t>
  </si>
  <si>
    <t xml:space="preserve">  Bâtiment cat. III à XII selon SIA 380/1</t>
  </si>
  <si>
    <t xml:space="preserve">  Installations pour des locaux qui exigent un climat ambiant spécial ou pour des processus 
industriels</t>
  </si>
  <si>
    <t xml:space="preserve">  Bâtiment d'habitation - cat. I ou II selon SIA 380/1, preuve calculée selon EN-VS-101b</t>
  </si>
  <si>
    <t xml:space="preserve">   Minergie-P, Minergie-A, Minergie-Quartier, CECB A/A (OcEne art.61)</t>
  </si>
  <si>
    <t>LcEne art.34 + OcEne art.60-61</t>
  </si>
  <si>
    <t xml:space="preserve">  En combinaison d'une solution standard EN-VS-101a pour les bâtiments d'habitation</t>
  </si>
  <si>
    <r>
      <t xml:space="preserve">À REMPLIR PAR LE CANTON
</t>
    </r>
    <r>
      <rPr>
        <b/>
        <sz val="8"/>
        <color rgb="FF000000"/>
        <rFont val="Arial"/>
        <family val="2"/>
      </rPr>
      <t>Le justificatif est certifié complet et correct</t>
    </r>
  </si>
  <si>
    <t>-&gt; si non respect des exigences pour la production de froid (dès cat. SIA III)</t>
  </si>
  <si>
    <t>-&gt; si dépassement de 12 W/m2 (toutes les cat. SIA)</t>
  </si>
  <si>
    <r>
      <rPr>
        <b/>
        <sz val="12"/>
        <color rgb="FF000000"/>
        <rFont val="Calibri"/>
        <family val="2"/>
      </rPr>
      <t>①</t>
    </r>
    <r>
      <rPr>
        <b/>
        <sz val="12"/>
        <color rgb="FF000000"/>
        <rFont val="Arial"/>
        <family val="2"/>
      </rPr>
      <t xml:space="preserve"> </t>
    </r>
  </si>
  <si>
    <t xml:space="preserve">Nouvelle construction / agrandissement </t>
  </si>
  <si>
    <r>
      <rPr>
        <b/>
        <sz val="12"/>
        <color rgb="FF000000"/>
        <rFont val="Calibri"/>
        <family val="2"/>
      </rPr>
      <t>②</t>
    </r>
    <r>
      <rPr>
        <b/>
        <sz val="13.8"/>
        <color rgb="FF000000"/>
        <rFont val="Arial"/>
        <family val="2"/>
      </rPr>
      <t>a</t>
    </r>
  </si>
  <si>
    <r>
      <rPr>
        <b/>
        <sz val="12"/>
        <color rgb="FF000000"/>
        <rFont val="Calibri"/>
        <family val="2"/>
      </rPr>
      <t>②</t>
    </r>
    <r>
      <rPr>
        <b/>
        <sz val="13.8"/>
        <color rgb="FF000000"/>
        <rFont val="Arial"/>
        <family val="2"/>
      </rPr>
      <t>b</t>
    </r>
  </si>
  <si>
    <t xml:space="preserve">Rafraîchissement  dans un nouveau bâtiment / agrandissement </t>
  </si>
  <si>
    <r>
      <rPr>
        <b/>
        <sz val="12"/>
        <color rgb="FF000000"/>
        <rFont val="Calibri"/>
        <family val="2"/>
      </rPr>
      <t>③</t>
    </r>
    <r>
      <rPr>
        <b/>
        <sz val="12"/>
        <color rgb="FF000000"/>
        <rFont val="Arial"/>
        <family val="2"/>
      </rPr>
      <t>a</t>
    </r>
  </si>
  <si>
    <t>Rafraîchissement  dans un bâtiment existant</t>
  </si>
  <si>
    <r>
      <rPr>
        <b/>
        <sz val="12"/>
        <color rgb="FF000000"/>
        <rFont val="Calibri"/>
        <family val="2"/>
      </rPr>
      <t>③</t>
    </r>
    <r>
      <rPr>
        <b/>
        <sz val="12"/>
        <color rgb="FF000000"/>
        <rFont val="Arial"/>
        <family val="2"/>
      </rPr>
      <t>b</t>
    </r>
  </si>
  <si>
    <r>
      <t>Production spécifique [kWh/kWc]</t>
    </r>
    <r>
      <rPr>
        <b/>
        <vertAlign val="superscript"/>
        <sz val="10"/>
        <color rgb="FF000000"/>
        <rFont val="Arial"/>
        <family val="2"/>
      </rPr>
      <t xml:space="preserve"> 2)</t>
    </r>
  </si>
  <si>
    <t>Pinstallation [kWc]</t>
  </si>
  <si>
    <r>
      <rPr>
        <vertAlign val="superscript"/>
        <sz val="8.5"/>
        <color rgb="FF000000"/>
        <rFont val="Arial"/>
        <family val="2"/>
      </rPr>
      <t>2)</t>
    </r>
    <r>
      <rPr>
        <vertAlign val="superscript"/>
        <sz val="9"/>
        <color rgb="FF000000"/>
        <rFont val="Arial"/>
        <family val="2"/>
      </rPr>
      <t xml:space="preserve"> </t>
    </r>
    <r>
      <rPr>
        <sz val="9"/>
        <color rgb="FF000000"/>
        <rFont val="Arial"/>
        <family val="2"/>
      </rPr>
      <t>valeur à saisir selon dimensionnement installation, fournir justification</t>
    </r>
  </si>
  <si>
    <t xml:space="preserve">   Demande de participation financière à une installation</t>
  </si>
  <si>
    <t xml:space="preserve">   utilisant une ressource énergétique renouvelable (OcEne art.59)</t>
  </si>
  <si>
    <t>Rénovation toiture</t>
  </si>
  <si>
    <t>Production propre d'électricité</t>
  </si>
  <si>
    <t>Dépose de la couverture, bâtiment existant</t>
  </si>
  <si>
    <t>Fournir la simulation de production compensatoire de l'installation projetée pour preuve de la production saisonnière requise</t>
  </si>
  <si>
    <t>production selon simulation remise</t>
  </si>
  <si>
    <t>Puissance solaire requise</t>
  </si>
  <si>
    <r>
      <t>Production spécifique [kWh/kWc]</t>
    </r>
    <r>
      <rPr>
        <b/>
        <vertAlign val="superscript"/>
        <sz val="10"/>
        <color rgb="FF000000"/>
        <rFont val="Arial"/>
        <family val="2"/>
      </rPr>
      <t xml:space="preserve"> 1)</t>
    </r>
  </si>
  <si>
    <r>
      <rPr>
        <vertAlign val="superscript"/>
        <sz val="8.5"/>
        <color rgb="FF000000"/>
        <rFont val="Arial"/>
        <family val="2"/>
      </rPr>
      <t>1)</t>
    </r>
    <r>
      <rPr>
        <vertAlign val="superscript"/>
        <sz val="9"/>
        <color rgb="FF000000"/>
        <rFont val="Arial"/>
        <family val="2"/>
      </rPr>
      <t xml:space="preserve"> </t>
    </r>
    <r>
      <rPr>
        <sz val="9"/>
        <color rgb="FF000000"/>
        <rFont val="Arial"/>
        <family val="2"/>
      </rPr>
      <t>valeur à saisir selon résultat de la simulation fournie en pièce jointe</t>
    </r>
  </si>
  <si>
    <t>Part installation pour...</t>
  </si>
  <si>
    <r>
      <rPr>
        <b/>
        <sz val="10"/>
        <color rgb="FF000000"/>
        <rFont val="Calibri"/>
        <family val="2"/>
      </rPr>
      <t>❶</t>
    </r>
    <r>
      <rPr>
        <b/>
        <i/>
        <sz val="13"/>
        <color rgb="FF000000"/>
        <rFont val="Arial"/>
        <family val="2"/>
      </rPr>
      <t xml:space="preserve">  </t>
    </r>
    <r>
      <rPr>
        <b/>
        <i/>
        <sz val="10"/>
        <color rgb="FF000000"/>
        <rFont val="Arial"/>
        <family val="2"/>
      </rPr>
      <t>Puissance solaire minimale requise</t>
    </r>
  </si>
  <si>
    <r>
      <rPr>
        <b/>
        <sz val="10"/>
        <color rgb="FF000000"/>
        <rFont val="Calibri"/>
        <family val="2"/>
      </rPr>
      <t>❷</t>
    </r>
    <r>
      <rPr>
        <b/>
        <i/>
        <sz val="13"/>
        <color rgb="FF000000"/>
        <rFont val="Arial"/>
        <family val="2"/>
      </rPr>
      <t xml:space="preserve">  </t>
    </r>
    <r>
      <rPr>
        <b/>
        <i/>
        <sz val="10"/>
        <color rgb="FF000000"/>
        <rFont val="Arial"/>
        <family val="2"/>
      </rPr>
      <t xml:space="preserve">Production solaire </t>
    </r>
    <r>
      <rPr>
        <b/>
        <i/>
        <u/>
        <sz val="10"/>
        <color rgb="FF000000"/>
        <rFont val="Arial"/>
        <family val="2"/>
      </rPr>
      <t>supplémentaire</t>
    </r>
    <r>
      <rPr>
        <b/>
        <i/>
        <sz val="10"/>
        <color rgb="FF000000"/>
        <rFont val="Arial"/>
        <family val="2"/>
      </rPr>
      <t xml:space="preserve"> requise</t>
    </r>
  </si>
  <si>
    <t>❶  Puissance installée</t>
  </si>
  <si>
    <t>❷  Puissance pour énergie supplémentaire</t>
  </si>
  <si>
    <t>1=ok kWh</t>
  </si>
  <si>
    <t>1=ok kWc</t>
  </si>
  <si>
    <t>PROJET SOUMIS</t>
  </si>
  <si>
    <t>BESOINS</t>
  </si>
  <si>
    <t>Plans (1:100) avec désignation des éléments, enveloppe thermique, SRE</t>
  </si>
  <si>
    <t>Simulation de la production minimale requise = puissance minimale requise</t>
  </si>
  <si>
    <t>Simulation avec la production d'électricité supplémentaire saisonnière</t>
  </si>
  <si>
    <t>Simulation(s) de la production propre d'électricité en fonction de l'emplacement, de l'orientation des modules, etc...</t>
  </si>
  <si>
    <t xml:space="preserve">  Minergie-P, Minergie-A, Minergie-Quartier, CECB A/A (OcEne art.61)</t>
  </si>
  <si>
    <r>
      <rPr>
        <b/>
        <sz val="12"/>
        <rFont val="Calibri"/>
        <family val="2"/>
      </rPr>
      <t>③</t>
    </r>
    <r>
      <rPr>
        <b/>
        <sz val="12"/>
        <rFont val="Arial"/>
        <family val="2"/>
      </rPr>
      <t>a</t>
    </r>
  </si>
  <si>
    <t>- production solaire photovoltaïque - dimensionnement des champs solaires photovoltaïques</t>
  </si>
  <si>
    <r>
      <rPr>
        <sz val="11"/>
        <rFont val="Arial"/>
        <family val="2"/>
      </rPr>
      <t xml:space="preserve">Justificatif énergétique
</t>
    </r>
    <r>
      <rPr>
        <b/>
        <sz val="12"/>
        <rFont val="Arial"/>
        <family val="2"/>
      </rPr>
      <t xml:space="preserve">Production propre d'électricité </t>
    </r>
  </si>
  <si>
    <t xml:space="preserve">  Installations pour locaux exigeant un climat ambiant spécial ou pour processus 
industriels</t>
  </si>
  <si>
    <r>
      <rPr>
        <b/>
        <sz val="12"/>
        <rFont val="Calibri"/>
        <family val="2"/>
      </rPr>
      <t>②</t>
    </r>
    <r>
      <rPr>
        <b/>
        <sz val="13.8"/>
        <rFont val="Arial"/>
        <family val="2"/>
      </rPr>
      <t>b</t>
    </r>
  </si>
  <si>
    <t>jan</t>
  </si>
  <si>
    <t>fév</t>
  </si>
  <si>
    <t>mars</t>
  </si>
  <si>
    <t>mai</t>
  </si>
  <si>
    <t>juin</t>
  </si>
  <si>
    <t>juil.</t>
  </si>
  <si>
    <t>août</t>
  </si>
  <si>
    <t>avr.</t>
  </si>
  <si>
    <t>sept.</t>
  </si>
  <si>
    <t>oct.</t>
  </si>
  <si>
    <t>nov.</t>
  </si>
  <si>
    <t>déc.</t>
  </si>
  <si>
    <t>Année</t>
  </si>
  <si>
    <t>Production d'énergie spécifique (selon calculateur Suisse Energie ou autre)</t>
  </si>
  <si>
    <t>Altitude</t>
  </si>
  <si>
    <t>m</t>
  </si>
  <si>
    <t>Station climatique</t>
  </si>
  <si>
    <t>Sion</t>
  </si>
  <si>
    <t>Montana</t>
  </si>
  <si>
    <t>2a: dépose toiture</t>
  </si>
  <si>
    <t>1: bât à construire</t>
  </si>
  <si>
    <t>3a: froid neuf</t>
  </si>
  <si>
    <t>2b: sol std 3</t>
  </si>
  <si>
    <t>2b: ch élect</t>
  </si>
  <si>
    <t>3a: humidif neuf</t>
  </si>
  <si>
    <t>Puissance de l'installation simulée [kWc]</t>
  </si>
  <si>
    <t>chauffage</t>
  </si>
  <si>
    <t>0° (Sud)</t>
  </si>
  <si>
    <t>180° (Nord)</t>
  </si>
  <si>
    <t>90° (Ouest)</t>
  </si>
  <si>
    <t>45° (Sud-Ouest)</t>
  </si>
  <si>
    <t>135° (Nord-Ouest)</t>
  </si>
  <si>
    <t>-45° (Sud-Est)</t>
  </si>
  <si>
    <t>-90° (Est)</t>
  </si>
  <si>
    <t>-135° (Nord-Est)</t>
  </si>
  <si>
    <t>choisir s.v.p.</t>
  </si>
  <si>
    <t>kWh/kWc</t>
  </si>
  <si>
    <t>oct-avr</t>
  </si>
  <si>
    <t>sept-mai</t>
  </si>
  <si>
    <t>avr-sept</t>
  </si>
  <si>
    <t>nov-fév</t>
  </si>
  <si>
    <t>kWh/a</t>
  </si>
  <si>
    <t xml:space="preserve">Selon les données remises  </t>
  </si>
  <si>
    <t>Autre(s) installation(s) de production propre d'électricité</t>
  </si>
  <si>
    <t>(dés)humidif</t>
  </si>
  <si>
    <r>
      <t xml:space="preserve">À REMPLIR PAR L'AUTORITE COMPETENTE
(ou son délégué)
</t>
    </r>
    <r>
      <rPr>
        <b/>
        <i/>
        <sz val="9"/>
        <color rgb="FF000000"/>
        <rFont val="Arial"/>
        <family val="2"/>
      </rPr>
      <t>Le justificatif est certifié complet et correct</t>
    </r>
  </si>
  <si>
    <t>Pspécif panneaux selon période / site considéré</t>
  </si>
  <si>
    <t>Projet</t>
  </si>
  <si>
    <t>Puissance totale requise</t>
  </si>
  <si>
    <t>Equivalent production selon Pspécifique simulation</t>
  </si>
  <si>
    <t>kWh/mois</t>
  </si>
  <si>
    <t>humidif</t>
  </si>
  <si>
    <t>Cat. III à XI soumises</t>
  </si>
  <si>
    <t>&gt;12 W/m2 -&gt; compensation de la consommation totale par rapport à l'état de la technique (p.ex. 12 W/m2 x 100 m2 x 1000 h/a x 4.00/3.00 = 1600 kWh)</t>
  </si>
  <si>
    <t>&lt;12 W/m2 -&gt; compensation de la puissance (p.ex. 12 W/m2 x 100 m2 x 1000 h/a = 1200 kWh)</t>
  </si>
  <si>
    <t>Cat. I et II exemptées si &lt;12 W/m2</t>
  </si>
  <si>
    <t>Rafraîchissement et (dés)humidification</t>
  </si>
  <si>
    <t>Energie requise (calcul simplifié)</t>
  </si>
  <si>
    <t>Energie requise (simulation OcEne art.60 al.4)</t>
  </si>
  <si>
    <t>Rafraîchissement</t>
  </si>
  <si>
    <t>(Dés)humidification</t>
  </si>
  <si>
    <t>1=doit respecter Ehwlk</t>
  </si>
  <si>
    <t>2=soumis</t>
  </si>
  <si>
    <t>3=exempté</t>
  </si>
  <si>
    <t>4=soumis</t>
  </si>
  <si>
    <t>5=exempté</t>
  </si>
  <si>
    <t>Si dépasse 12 W/m2, alors compensation de la consommation excédentaire par rapport à l'état de la technique</t>
  </si>
  <si>
    <t xml:space="preserve">   Puissances électriques totales :</t>
  </si>
  <si>
    <t xml:space="preserve">   Energie requise (calcul simplifié)</t>
  </si>
  <si>
    <t>La compensation s'effectue sur la base des EER de la machine de froid</t>
  </si>
  <si>
    <t>L'ensemble de l'énergie est compensée à l'aide de ce facteur (càd froid ET humidification)</t>
  </si>
  <si>
    <t>La compensation du froid et de l'humidification s'entends non-cumulée, les saisons étant indépendantes</t>
  </si>
  <si>
    <t>kWc de panneaux sont requis pour couvrir les besoins du projet soumis</t>
  </si>
  <si>
    <t>Production spécifique [kWh/kWc]</t>
  </si>
  <si>
    <t>plusieurs pans</t>
  </si>
  <si>
    <t>Puissance installation production propre d'électricité</t>
  </si>
  <si>
    <t>En cas d'agrandissement avec rafraîchissement de l'existant ET de l'agrandissement</t>
  </si>
  <si>
    <t>compensation répartie mixte (neuf / existant)</t>
  </si>
  <si>
    <t>mais on tolèrera</t>
  </si>
  <si>
    <t>-&gt; la compensation 100% avec l'indice de neuf</t>
  </si>
  <si>
    <t>-&gt; pas de compensation avec tout dans l'existant</t>
  </si>
  <si>
    <t>Requis en kWc uniquement</t>
  </si>
  <si>
    <t>Requis en kWc transformés à partir des kWh à l'aide de simulation site</t>
  </si>
  <si>
    <t xml:space="preserve">  choisir ci-dessus s.v.p.</t>
  </si>
  <si>
    <t>0=pas besoin de simulation</t>
  </si>
  <si>
    <t>1=simulation nécessaire</t>
  </si>
  <si>
    <t>choisir s.v.p. :</t>
  </si>
  <si>
    <r>
      <t xml:space="preserve">Type 1  </t>
    </r>
    <r>
      <rPr>
        <sz val="10"/>
        <color theme="0" tint="-0.34998626667073579"/>
        <rFont val="Calibri"/>
        <family val="2"/>
      </rPr>
      <t>≤</t>
    </r>
    <r>
      <rPr>
        <sz val="10"/>
        <color theme="0" tint="-0.34998626667073579"/>
        <rFont val="Arial"/>
        <family val="2"/>
      </rPr>
      <t>12 kW =&gt; EER+100% &gt;3.10, EER+50%&gt;4.40</t>
    </r>
  </si>
  <si>
    <t>Type 1  100 kW =&gt; EER+100% &gt;3.20, EER+50%&gt;4.70</t>
  </si>
  <si>
    <t>Type 1  300 kW =&gt; EER+100% &gt;3.30, EER+50%&gt;5.30</t>
  </si>
  <si>
    <t>Type 1  600 kW =&gt; EER+100% &gt;3.50, EER+50%&gt;5.80</t>
  </si>
  <si>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</si>
  <si>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</si>
  <si>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</si>
  <si>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</si>
  <si>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</si>
  <si>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</si>
  <si>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</si>
  <si>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</si>
  <si>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</si>
  <si>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Refroidisseurs à eau avec post-refroidissement (type 1)</t>
  </si>
  <si>
    <t>Refroidisseurs à eau en condition standard (type 2)</t>
  </si>
  <si>
    <t>Refroidisseurs à air en condition standard (type 3)</t>
  </si>
  <si>
    <t>Puissance installation avec 80% toiture couverte</t>
  </si>
  <si>
    <t>Prequise</t>
  </si>
  <si>
    <t>Pinstall</t>
  </si>
  <si>
    <t>delta</t>
  </si>
  <si>
    <t>Simulation de la production d'électricité sur le site du projet concerné</t>
  </si>
  <si>
    <t>3b: froid existant habitat</t>
  </si>
  <si>
    <t>3b: humidif existant habitat</t>
  </si>
  <si>
    <t>3b: froid  existant autre</t>
  </si>
  <si>
    <t>3b: humidif  existant autre</t>
  </si>
  <si>
    <t>④</t>
  </si>
  <si>
    <t xml:space="preserve">Nouvelle construction ou Agrandissement </t>
  </si>
  <si>
    <t xml:space="preserve">Nouvelle construction labellisée CECB A/A, Minergie-P, Minergie-A ou Minergie-Quartier </t>
  </si>
  <si>
    <t>ou Agrandissement d'un bâtiment déjà labellisé Minergie et disposant d'une installation photovoltaïque</t>
  </si>
  <si>
    <t xml:space="preserve">   Humidification et déshumidification</t>
  </si>
  <si>
    <t>et/ou humidifier et/ou déshumidifier</t>
  </si>
  <si>
    <r>
      <t>P</t>
    </r>
    <r>
      <rPr>
        <b/>
        <vertAlign val="subscript"/>
        <sz val="10"/>
        <color rgb="FF000000"/>
        <rFont val="Arial"/>
        <family val="2"/>
      </rPr>
      <t xml:space="preserve">installation </t>
    </r>
    <r>
      <rPr>
        <b/>
        <sz val="10"/>
        <color rgb="FF000000"/>
        <rFont val="Arial"/>
        <family val="2"/>
      </rPr>
      <t>[kWc]</t>
    </r>
  </si>
  <si>
    <t>(pour rafraîchissement, humidification et déshumidification)</t>
  </si>
  <si>
    <r>
      <t>EER machine frigorifique</t>
    </r>
    <r>
      <rPr>
        <sz val="10"/>
        <color rgb="FF000000"/>
        <rFont val="Arial"/>
        <family val="2"/>
      </rPr>
      <t xml:space="preserve"> :</t>
    </r>
  </si>
  <si>
    <t>Installation de rafraîchissement,</t>
  </si>
  <si>
    <r>
      <t>Rafraîchissement</t>
    </r>
    <r>
      <rPr>
        <i/>
        <sz val="10"/>
        <color rgb="FF000000"/>
        <rFont val="Arial"/>
        <family val="2"/>
      </rPr>
      <t xml:space="preserve"> (y compris déshumidification estivale)</t>
    </r>
  </si>
  <si>
    <t>Production annuelle [kWh]</t>
  </si>
  <si>
    <t>Dépose de la couverture d'un bâtiment existant</t>
  </si>
  <si>
    <t xml:space="preserve">Rafraîchissement, humidification et/ou déshumidification dans nouveau bâtiment ou agrandissement </t>
  </si>
  <si>
    <t>6=choisir ou soumis</t>
  </si>
  <si>
    <t>A compenser (surconsommation froid)</t>
  </si>
  <si>
    <t>puissance totale</t>
  </si>
  <si>
    <t>A compenser (humidif)</t>
  </si>
  <si>
    <t>W/m2</t>
  </si>
  <si>
    <t>froid habitat</t>
  </si>
  <si>
    <t>humidif habitat</t>
  </si>
  <si>
    <t>froid pas-habitat</t>
  </si>
  <si>
    <t>humidif pas habitat</t>
  </si>
  <si>
    <t>Compensations à reprendre</t>
  </si>
  <si>
    <t>total</t>
  </si>
  <si>
    <t>Equivalent produit sur site selon projet</t>
  </si>
  <si>
    <t>manque en kWh</t>
  </si>
  <si>
    <r>
      <rPr>
        <b/>
        <sz val="10"/>
        <color rgb="FFFF0000"/>
        <rFont val="Arial"/>
        <family val="2"/>
      </rPr>
      <t>Habitat</t>
    </r>
    <r>
      <rPr>
        <b/>
        <sz val="10"/>
        <color theme="0" tint="-0.34998626667073579"/>
        <rFont val="Arial"/>
        <family val="2"/>
      </rPr>
      <t>, compenser excès froid selon EER dès &gt;12 W/m2 froid</t>
    </r>
  </si>
  <si>
    <t>ratio froid</t>
  </si>
  <si>
    <t>ratio humidif</t>
  </si>
  <si>
    <t>kwh froid</t>
  </si>
  <si>
    <t>kwh humidif</t>
  </si>
  <si>
    <t>1=oui, 2=non</t>
  </si>
  <si>
    <t>A compenser (humidif pro rata ratio)</t>
  </si>
  <si>
    <t>dépassement à compenser</t>
  </si>
  <si>
    <t>Type 1   ≥1000 kW =&gt; EER+100% &gt;3.7, EER+50%&gt;6.00</t>
  </si>
  <si>
    <t>EER machine projetée (charge 100%)</t>
  </si>
  <si>
    <t>à eau sans post refroidissement</t>
  </si>
  <si>
    <t>à air</t>
  </si>
  <si>
    <t>à eau avec post refroidissement</t>
  </si>
  <si>
    <t>Rafraîchissement, humidification et/ou déshumidification dans un bâtiment existant</t>
  </si>
  <si>
    <t>kW</t>
  </si>
  <si>
    <r>
      <t>m</t>
    </r>
    <r>
      <rPr>
        <i/>
        <vertAlign val="superscript"/>
        <sz val="10"/>
        <color rgb="FF000000"/>
        <rFont val="Arial"/>
        <family val="2"/>
      </rPr>
      <t>2</t>
    </r>
  </si>
  <si>
    <r>
      <rPr>
        <b/>
        <sz val="10"/>
        <color rgb="FFFF0000"/>
        <rFont val="Arial"/>
        <family val="2"/>
      </rPr>
      <t>Hors habitat</t>
    </r>
    <r>
      <rPr>
        <b/>
        <sz val="10"/>
        <color theme="0" tint="-0.34998626667073579"/>
        <rFont val="Arial"/>
        <family val="2"/>
      </rPr>
      <t>, compenser tout froid (&lt;12W/m2 sans EER,  &gt;12 W/m2 avec EER)</t>
    </r>
  </si>
  <si>
    <t>&gt;12W/m2 ?</t>
  </si>
  <si>
    <t>1-(EERprojet/EERnorme)</t>
  </si>
  <si>
    <t>1-(EERprojet/EERnorme) &gt; 0 ?</t>
  </si>
  <si>
    <t>Puissance production propre d'électricité requise selon les données remises :</t>
  </si>
  <si>
    <t>Puissance production propre d'électricité annuelle de l'installation projetée :</t>
  </si>
  <si>
    <t>Protections solaires</t>
  </si>
  <si>
    <t>Majoration protections solaires</t>
  </si>
  <si>
    <t>OcEne allègements selon art.28 (base ENDK voir aide appli EN-102a)</t>
  </si>
  <si>
    <t>Protec solaires</t>
  </si>
  <si>
    <t>Protection solaire extérieure opaque normalisée automatisée</t>
  </si>
  <si>
    <t>Protection solaire extérieure opaque normalisée manuelle</t>
  </si>
  <si>
    <t>Protection solaire extérieure insuffisante manuelle</t>
  </si>
  <si>
    <t>Protection solaire intérieure ou inexistante</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</si>
  <si>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</si>
  <si>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</si>
  <si>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</si>
  <si>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</si>
  <si>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</si>
  <si>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</si>
  <si>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si différent de 0, protec sol pas 382/1</t>
  </si>
  <si>
    <t>d'un bâtiment existant</t>
  </si>
  <si>
    <t xml:space="preserve">Nouvelle construction/agrandissement ① </t>
  </si>
  <si>
    <t xml:space="preserve">Dépose de la couverture ②a </t>
  </si>
  <si>
    <t>ou complément couverture des besoins</t>
  </si>
  <si>
    <t>complément</t>
  </si>
  <si>
    <t>humidification et/ou déshumidification</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</si>
  <si>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</si>
  <si>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</si>
  <si>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</si>
  <si>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</si>
  <si>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</si>
  <si>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</si>
  <si>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</si>
  <si>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</si>
  <si>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</si>
  <si>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</si>
  <si>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</si>
  <si>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</si>
  <si>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</si>
  <si>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</si>
  <si>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</si>
  <si>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</si>
  <si>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</si>
  <si>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Une case rouge comporte une valeur calculée automatiquement sur la base des valeurs que vous avez saisies</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</si>
  <si>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</si>
  <si>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</si>
  <si>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</si>
  <si>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</si>
  <si>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</si>
  <si>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 xml:space="preserve">  Bâtiments d'habitation  - cat. I ou II selon SIA 380/1, en combinaison d'une solution standard EN-VS-101a</t>
  </si>
  <si>
    <t>Plans cotés de la toiture et identification/calculs des surfaces concernées par le projet</t>
  </si>
  <si>
    <t>Simulation/calcul de l'énergie spécifique produite sur site - Calculateur Suisse Energie ou autre</t>
  </si>
  <si>
    <t>Fiche technique des panneaux solaires considérés pour l'installation</t>
  </si>
  <si>
    <t>Simulation de la quantité d’électricité nécessaire du bureau spécialisé</t>
  </si>
  <si>
    <t>pour format annexe</t>
  </si>
  <si>
    <t>Caractéristiques techniques de la production d'électricité et justificatif EN-VS-133</t>
  </si>
  <si>
    <t>Justificatif EN-VS-101b + EN-VS-110</t>
  </si>
  <si>
    <t>Certificat provisoire Minergie-A/P/Quartier ou CECB A/A provisoire avec log-CECB</t>
  </si>
  <si>
    <t>Confirmation de l'impossibilité d'accès/utilisation de l'autorité compétente - avec document justificatif</t>
  </si>
  <si>
    <t xml:space="preserve"> texte</t>
  </si>
  <si>
    <t>Un texte en gris itallique peut être parfois présent afin de vous aider à compléter le formulaire et/ou permettre de décocher un choix qui n'aurait pas eu lieu d'être.</t>
  </si>
  <si>
    <t>Un coin rouge indique qu'une information est rédigée quand au champ concerné. Cette information peut comporter un extrait de la LcEne, de l'OcEne, des aides à l'application ou tout autre information pertinente.</t>
  </si>
  <si>
    <t>Leitfaden zum Ausfüllen der EN-VS-Formulare</t>
  </si>
  <si>
    <t>https://www.vs.ch/de/web/energie/energieanforderungen-für-gebäude</t>
  </si>
  <si>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</si>
  <si>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</si>
  <si>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</si>
  <si>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</si>
  <si>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</si>
  <si>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</si>
  <si>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</si>
  <si>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</si>
  <si>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</si>
  <si>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</si>
  <si>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</si>
  <si>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</si>
  <si>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</si>
  <si>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</si>
  <si>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</si>
  <si>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</si>
  <si>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</si>
  <si>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t>Dienststelle für Energie und Wasserkraft</t>
  </si>
  <si>
    <t>Gemeinde :</t>
  </si>
  <si>
    <t>Parz.-Nr :</t>
  </si>
  <si>
    <t>Bauvorhaben :</t>
  </si>
  <si>
    <t xml:space="preserve">Projekt von kantonalem Interesse </t>
  </si>
  <si>
    <t>Anwendungsbereich</t>
  </si>
  <si>
    <t xml:space="preserve">Neubau / Erweiterung ① </t>
  </si>
  <si>
    <t xml:space="preserve">Entfernen der Dacheindeckung ②a </t>
  </si>
  <si>
    <t>eines bestehenden Gebäudes</t>
  </si>
  <si>
    <t>Kühlung, Be- und/oder Entfeuchtung</t>
  </si>
  <si>
    <t>Ersatz von Wärmeerzeugungsanlagen oder</t>
  </si>
  <si>
    <t>dezentralen elektrischen Heizungen ②b</t>
  </si>
  <si>
    <t>Eigene Elektrizitäterzeugung</t>
  </si>
  <si>
    <t>Klimastation</t>
  </si>
  <si>
    <t>Neubau oder Erweiterung</t>
  </si>
  <si>
    <t>EBF bestehend :</t>
  </si>
  <si>
    <t>Anteil :</t>
  </si>
  <si>
    <t>oder Erweiterung eines mit dem Minergie-Label versehenen und mit einer Photovoltaikanlage ausgestatteten Gebäudes</t>
  </si>
  <si>
    <t>Leistung der Eigene Elektrizitäterzeugungsanlage</t>
  </si>
  <si>
    <t>Entfernen der Dacheindeckung</t>
  </si>
  <si>
    <t>Renovierung des Daches und aller Fassaden gegen aussen</t>
  </si>
  <si>
    <t>Renovierung nur der Nordseite des Daches</t>
  </si>
  <si>
    <t>Erforderliche Leistung der Solaranlage</t>
  </si>
  <si>
    <t>Kühlung, Befeuchtung und / oder Entfeuchtung bei Neubauten und Erweiterungen bestehender Gebäude</t>
  </si>
  <si>
    <t xml:space="preserve">  Gebäude Kat. III bis XII gemäss SIA 380/1</t>
  </si>
  <si>
    <t>bitte oben auswählen</t>
  </si>
  <si>
    <t>Kühlung</t>
  </si>
  <si>
    <t>(Be-)Entfeuchtung</t>
  </si>
  <si>
    <t>Energie électrique à couvrir</t>
  </si>
  <si>
    <t>La couverture solaire de la période de chauffage est calculée en fonction de la station climatique; pour "Sion" d'octobre à avril, pour "Montana" de septembre à mai.</t>
  </si>
  <si>
    <t>Energiebedarf (vereinfachte Berechnung)</t>
  </si>
  <si>
    <t>Elektrische Energie abzudecken</t>
  </si>
  <si>
    <t>Kühlung, Befeuchtung und / oder Entfeuchtung bei bestehender Gebäude</t>
  </si>
  <si>
    <t xml:space="preserve">   Befeuchtung und Entfeuchtung</t>
  </si>
  <si>
    <t>Sonnenschutz</t>
  </si>
  <si>
    <t>(für Kühlung, Befeuchtung und Entfeuchtung)</t>
  </si>
  <si>
    <t>kWh/Monat</t>
  </si>
  <si>
    <t>Jan</t>
  </si>
  <si>
    <t>Feb</t>
  </si>
  <si>
    <t>März</t>
  </si>
  <si>
    <t>Apr.</t>
  </si>
  <si>
    <t>Mai</t>
  </si>
  <si>
    <t>Juni</t>
  </si>
  <si>
    <t>Juli</t>
  </si>
  <si>
    <t>Aug.</t>
  </si>
  <si>
    <t>Sept.</t>
  </si>
  <si>
    <t>Okt.</t>
  </si>
  <si>
    <t>Nov.</t>
  </si>
  <si>
    <t>Dez.</t>
  </si>
  <si>
    <t>Jahr</t>
  </si>
  <si>
    <t>Die solare Abdeckung während der Heizperiode wird je nach Klimastation berechnet; für "Sion" von Oktober bis April, für "Montana" von September bis Mai.</t>
  </si>
  <si>
    <t>Nach den eingegebenen Daten</t>
  </si>
  <si>
    <t>taux de conversion kWh par kWp:</t>
  </si>
  <si>
    <t>kWp</t>
  </si>
  <si>
    <t>Leistung der simulierte Anlage [kWp]</t>
  </si>
  <si>
    <t>kWh/kWp</t>
  </si>
  <si>
    <t>[kWp]</t>
  </si>
  <si>
    <t>Requis en kWp uniquement</t>
  </si>
  <si>
    <t>Requis en kWp transformés à partir des kWh à l'aide de simulation site</t>
  </si>
  <si>
    <t>Anzahl Solarmodule</t>
  </si>
  <si>
    <t>Spezifische Erzeugung [kWh/kWp]</t>
  </si>
  <si>
    <t>Jahreserzeugung</t>
  </si>
  <si>
    <t xml:space="preserve">   Antrag auf finanzielle Beteiligung an einer Anlage, </t>
  </si>
  <si>
    <t>Erzeugungs Anlagetyp :</t>
  </si>
  <si>
    <t>für eigene Elektrizitätserzeugung</t>
  </si>
  <si>
    <t>bitte wählen</t>
  </si>
  <si>
    <t>-135° (Nord-Ost)</t>
  </si>
  <si>
    <t>-90° (Ost)</t>
  </si>
  <si>
    <t>-45° (Süd-Ost)</t>
  </si>
  <si>
    <t>0° (Süd)</t>
  </si>
  <si>
    <t>45° (Süd-West)</t>
  </si>
  <si>
    <t>90° (West)</t>
  </si>
  <si>
    <t>135° (Nord-West)</t>
  </si>
  <si>
    <t>mehrere Dachflächen</t>
  </si>
  <si>
    <t>Unterschriften</t>
  </si>
  <si>
    <t>Name und Adresse
bzw. Firmenstempel :</t>
  </si>
  <si>
    <t>Sachbearbeiter/-in :</t>
  </si>
  <si>
    <t>Tel / Mail :</t>
  </si>
  <si>
    <t>Ort, Datum, Unterschrift :</t>
  </si>
  <si>
    <t>Nachweis erarbeitet durch :</t>
  </si>
  <si>
    <t>Begründung des kantonalen Interesses gemäss kEnV Art.15</t>
  </si>
  <si>
    <t>EN-VS-101b + EN-VS-110</t>
  </si>
  <si>
    <t>Masszeichnungen des Daches und Identifizierung/Berechnung der vom Projekt betroffenen Flächen</t>
  </si>
  <si>
    <t>Simulation/Berechnung der erzeugten spezifischen Energie - EnergieSchweiz Rechner oder andere</t>
  </si>
  <si>
    <t>Certificat CECB provisoire, état après rénovation, son log-file et toute annexe utile au contrôle</t>
  </si>
  <si>
    <t>Provisorisches GEAK A/A Zertifikat, Stand nach Sanierung, mit log-file und alle nützlische Beilage für Kontrolle</t>
  </si>
  <si>
    <t>Label Minergie et preuves de l'installation solaire existante (photos p.ex.), ou label Minergie A/P/Quartier ou certificat CECB A/A, y compris documents et calculs</t>
  </si>
  <si>
    <t>Bestätigung der zuständigen Behörde über die Unmöglichkeit des Zugangs/der Nutzung - mit Belegdokument</t>
  </si>
  <si>
    <t>Erläuterungen/Gründe für die Nichteinhaltung und Antrag auf Ausnahmeregelung</t>
  </si>
  <si>
    <r>
      <t>Energienachweis</t>
    </r>
    <r>
      <rPr>
        <sz val="11"/>
        <rFont val="Arial"/>
        <family val="2"/>
      </rPr>
      <t xml:space="preserve">
</t>
    </r>
    <r>
      <rPr>
        <b/>
        <sz val="12"/>
        <rFont val="Arial"/>
        <family val="2"/>
      </rPr>
      <t>Eigene Elektrizitätserzeugung</t>
    </r>
  </si>
  <si>
    <t>Bitte wählen :</t>
  </si>
  <si>
    <t>Luftgekühlte Kältemaschinen bei Standard bedigungen (Typ 3)</t>
  </si>
  <si>
    <t>Wassergekühlte Kältemaschinen bei Standard bedigungen (Typ 1)</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</si>
  <si>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</si>
  <si>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</si>
  <si>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</si>
  <si>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</si>
  <si>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</si>
  <si>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</si>
  <si>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</si>
  <si>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</si>
  <si>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</si>
  <si>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</si>
  <si>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</si>
  <si>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</si>
  <si>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</si>
  <si>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</si>
  <si>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</si>
  <si>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</si>
  <si>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</si>
  <si>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</si>
  <si>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</si>
  <si>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Pas d'allègement justifié (couverture requise)</t>
  </si>
  <si>
    <t>Keine gerechtfertigten Erleichterungen (Abdeckung erforderlich)</t>
  </si>
  <si>
    <t>Automatisierter, standardisierter, opaker, äusserer Sonnenschutz</t>
  </si>
  <si>
    <t>Manuell, standardisierter, opaker, äusserer Sonnenschutz</t>
  </si>
  <si>
    <t>Manuell, unzureichend, äusserer Sonnenschutz</t>
  </si>
  <si>
    <t>Innen Sonnenschutz oder keine Sonnenschutz</t>
  </si>
  <si>
    <t>Höhe ü.M.</t>
  </si>
  <si>
    <t>Leistung der eigenen Elektrizitäterzeugungsanlage</t>
  </si>
  <si>
    <t>Benutzte Energie für elektrische Heizung</t>
  </si>
  <si>
    <t xml:space="preserve">  Wohnen - Kat. I oder II gemäss SIA 380/1, rechnerischer Nachweis EN-VS-101b</t>
  </si>
  <si>
    <t xml:space="preserve">  Wohnen - Kat. I oder II gemäss SIA 380/1, kombination mit Standardlösung EN-VS-101a</t>
  </si>
  <si>
    <t xml:space="preserve">  Anlage für Räume, die ein besonderes Raumklima erfordern, oder für Prozesse </t>
  </si>
  <si>
    <t>Elektrische Gesamtleistungen :</t>
  </si>
  <si>
    <t>Nettogeschossfläche zu kühlen, be-/entfeuchten</t>
  </si>
  <si>
    <t xml:space="preserve">   Elektrische Gesamtleistungen :</t>
  </si>
  <si>
    <r>
      <t>Kühlung</t>
    </r>
    <r>
      <rPr>
        <i/>
        <sz val="10"/>
        <color rgb="FF000000"/>
        <rFont val="Arial"/>
        <family val="2"/>
      </rPr>
      <t xml:space="preserve"> (inkl. sommerlicher Entfeuchtung)</t>
    </r>
  </si>
  <si>
    <r>
      <t>EER Kälteerzeuger</t>
    </r>
    <r>
      <rPr>
        <sz val="10"/>
        <color rgb="FF000000"/>
        <rFont val="Arial"/>
        <family val="2"/>
      </rPr>
      <t xml:space="preserve"> :</t>
    </r>
  </si>
  <si>
    <t>EER max. Stand der Technik (100% Last)</t>
  </si>
  <si>
    <t>EER projektierte Kälteerzeuger (100% Last)</t>
  </si>
  <si>
    <t>Elektrische Gesamtleistung :</t>
  </si>
  <si>
    <t>Spezifische Elektrizitätserzeugung (gemäss Energie Schweiz-Rechner oder Anderer)</t>
  </si>
  <si>
    <t>Projektierte Elektrizitätserzeugungsanlage</t>
  </si>
  <si>
    <t>Name der Anlage</t>
  </si>
  <si>
    <t>Jahresstromerzeugung [kWh]</t>
  </si>
  <si>
    <t>Andere Anlage oder Bedarfsabdeckung</t>
  </si>
  <si>
    <t>Leistung eigene Elektrizitätserzeugung der geplanten Anlage :</t>
  </si>
  <si>
    <t>Leistung eigene Elektrizitätserzeugung erforderlich gemäss den eingereichten Daten :</t>
  </si>
  <si>
    <t>Wohnen - Kat. I oder II gemäss SIA 380/1</t>
  </si>
  <si>
    <t>Wassergekühlte Kältemaschinen bei Standard bedigungen (Typ 2)</t>
  </si>
  <si>
    <t>GEAK-Klasse C (Gesamtenergieeffizienz) oder besser nach Renovierung (Zertifikat beifügen)</t>
  </si>
  <si>
    <t>Leistung der Anlage mit 80% Dachbedeckung</t>
  </si>
  <si>
    <t>Gebäude das nur in der Sommersaison genutzt wird, d.H. nur in den Monaten Mai bis Oktober genutzt  (gemäss kEnV Art. 64 Abs. 4)</t>
  </si>
  <si>
    <r>
      <t>P</t>
    </r>
    <r>
      <rPr>
        <b/>
        <vertAlign val="subscript"/>
        <sz val="10"/>
        <color rgb="FF000000"/>
        <rFont val="Arial"/>
        <family val="2"/>
      </rPr>
      <t>einzelnes</t>
    </r>
    <r>
      <rPr>
        <b/>
        <sz val="10"/>
        <color rgb="FF000000"/>
        <rFont val="Arial"/>
        <family val="2"/>
      </rPr>
      <t xml:space="preserve"> Solarmodul [Wp]</t>
    </r>
  </si>
  <si>
    <r>
      <t>P</t>
    </r>
    <r>
      <rPr>
        <b/>
        <vertAlign val="subscript"/>
        <sz val="10"/>
        <color rgb="FF000000"/>
        <rFont val="Arial"/>
        <family val="2"/>
      </rPr>
      <t>Solaranlage</t>
    </r>
    <r>
      <rPr>
        <b/>
        <sz val="10"/>
        <color rgb="FF000000"/>
        <rFont val="Arial"/>
        <family val="2"/>
      </rPr>
      <t xml:space="preserve"> [kWp]</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</si>
  <si>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</si>
  <si>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</si>
  <si>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</si>
  <si>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</si>
  <si>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</si>
  <si>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</si>
  <si>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</si>
  <si>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</si>
  <si>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</si>
  <si>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</si>
  <si>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</si>
  <si>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t xml:space="preserve">Anhänge, </t>
    </r>
    <r>
      <rPr>
        <b/>
        <sz val="12"/>
        <color theme="9"/>
        <rFont val="Arial"/>
        <family val="2"/>
      </rPr>
      <t>die im Rahmen dieses Formular erforderlich sind</t>
    </r>
    <r>
      <rPr>
        <b/>
        <sz val="12"/>
        <color rgb="FF000000"/>
        <rFont val="Arial"/>
        <family val="2"/>
      </rPr>
      <t>, entsprechend den eingegebenen Informationen</t>
    </r>
  </si>
  <si>
    <r>
      <t xml:space="preserve">Annexes </t>
    </r>
    <r>
      <rPr>
        <b/>
        <sz val="12"/>
        <color theme="9"/>
        <rFont val="Arial"/>
        <family val="2"/>
      </rPr>
      <t xml:space="preserve">à fournir dans le cadre de ce formulaire </t>
    </r>
    <r>
      <rPr>
        <b/>
        <sz val="12"/>
        <color rgb="FF000000"/>
        <rFont val="Arial"/>
        <family val="2"/>
      </rPr>
      <t>selon les informations saisies</t>
    </r>
  </si>
  <si>
    <t>Pläne (1:100) mit Bauteilbezeichnungen, thermische Gebäudehülle, EBF</t>
  </si>
  <si>
    <t>Neubau mit GEAK A/A-, Minergie-P-, Minergie-A- oder Minergie-Areal-Label</t>
  </si>
  <si>
    <t>Minergie-Label und Nachweis der bestehenden Solaranlage (z.B. Fotos), oder Minergie-Label A/P/Areal oder GEAK-Zertifikat A/A, inkl. Unterlagen und Berechnungen</t>
  </si>
  <si>
    <t>Provisorisches Minergie P, A oder Areal Zertifikat oder provisorisches GEAK A/A mit log-file</t>
  </si>
  <si>
    <t>Datenblatt geplannte Solarmodule</t>
  </si>
  <si>
    <t>Technische Daten der Elektrizitätserzeugung und Nachweis EN-VS-133</t>
  </si>
  <si>
    <t>Ersatz von Wärmeerzeugungsanlagen (Standardlösung Nr.3) 
oder dezentralen elektrischen Heizungen in bestehenden Gebäude</t>
  </si>
  <si>
    <t>③a oder ③b</t>
  </si>
  <si>
    <t>③a ou ③b</t>
  </si>
  <si>
    <t>ou de chauffage électrique décentralisé ②b</t>
  </si>
  <si>
    <t xml:space="preserve">Remplacement chaudière (solution standard n°3) </t>
  </si>
  <si>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</si>
  <si>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</si>
  <si>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Art. 40 LcEne + art. 63 OcEne (chauffages électriques) + art. 62 OcEne (remplacement chaudière)</t>
  </si>
  <si>
    <t>Remplacement d'une chaudière (solution standard n°3) 
ou d'un chauffage électrique décentralisé dans un bâtiment existant</t>
  </si>
  <si>
    <t>Art. 33 LcEne + art. 58 OcEne</t>
  </si>
  <si>
    <t>Art. 43 LcEne + art. 64 OcEne</t>
  </si>
  <si>
    <r>
      <t>Solution standard n°3, remplacement de chaudière (</t>
    </r>
    <r>
      <rPr>
        <i/>
        <sz val="10"/>
        <rFont val="Arial"/>
        <family val="2"/>
      </rPr>
      <t>art. 62 al. 2c OcEne</t>
    </r>
    <r>
      <rPr>
        <sz val="10"/>
        <rFont val="Arial"/>
        <family val="2"/>
      </rPr>
      <t xml:space="preserve">) : </t>
    </r>
  </si>
  <si>
    <r>
      <t xml:space="preserve">Couverture de l'énergie nécessaire au chauffage électrique </t>
    </r>
    <r>
      <rPr>
        <i/>
        <sz val="10"/>
        <rFont val="Arial"/>
        <family val="2"/>
      </rPr>
      <t>(art.40 al.2e LcEne + art. 63 OcEne) :</t>
    </r>
  </si>
  <si>
    <t>Art.34 LcEne + art. 60-61 OcEne</t>
  </si>
  <si>
    <t>Art.34 LcEne + art. 42 OcEne</t>
  </si>
  <si>
    <t>Energie requise (simulation art. 60 al. 4 OcEne)</t>
  </si>
  <si>
    <t xml:space="preserve">   Energie requise (simulation art. 60 al. 4 OcEne)</t>
  </si>
  <si>
    <t>Justification de l'intérêt cantonal selon art. 15 OcEne</t>
  </si>
  <si>
    <t>Dossier de justification énergie nécessaire au chauffage électrique selon art. 63 al. 2 OcEne (calculs, factures, etc.)</t>
  </si>
  <si>
    <t xml:space="preserve">Art. 33 kEnG + Art. 58 kEnV </t>
  </si>
  <si>
    <t xml:space="preserve"> Art. 43 kEnG+ Art. 64 kEnV </t>
  </si>
  <si>
    <t>Art. 39-40 kEnG + Art. 63 kEnV (elektrischen Heizungen) + Art. 62 kEnV Ersatz von Wärmeerzeugungsanlage)</t>
  </si>
  <si>
    <r>
      <t>Standardlösung Nr.3, Ersatz Wärmeerzeugungsanlage (Ar</t>
    </r>
    <r>
      <rPr>
        <i/>
        <sz val="10"/>
        <rFont val="Arial"/>
        <family val="2"/>
      </rPr>
      <t>t. 62 Abs. 2c kEnV</t>
    </r>
    <r>
      <rPr>
        <sz val="10"/>
        <rFont val="Arial"/>
        <family val="2"/>
      </rPr>
      <t xml:space="preserve">) : </t>
    </r>
  </si>
  <si>
    <r>
      <t xml:space="preserve">Abdeckung des Energiebedarfs für die elektrische Heizung </t>
    </r>
    <r>
      <rPr>
        <i/>
        <sz val="10"/>
        <rFont val="Arial"/>
        <family val="2"/>
      </rPr>
      <t>(Art. 40 Abs. 2e kEnG + Art. 63 kEnV) :</t>
    </r>
  </si>
  <si>
    <t>Art. 34 kEnG + Art. 60-61  kEnV</t>
  </si>
  <si>
    <t>Energiebedarf (SimulationArt. 60 Ab. 4 kEnV )</t>
  </si>
  <si>
    <t>Energiebedarf (Simulation Art. 60 Ab. 4 kEnV)</t>
  </si>
  <si>
    <t xml:space="preserve">  Minergie-P, Minergie-A, Minergie-Areal, GEAK A/A (Art. 61 kEnV)</t>
  </si>
  <si>
    <t>Art. 34 kEnG + Art. 42 kEnV</t>
  </si>
  <si>
    <t>Energiebedarf (SimulationArt. 60 Abs. 4 kEnV )</t>
  </si>
  <si>
    <t>Nachweisdossier Energiebedarf für elektrische Heizung gemäss Art. 63 Ab. 2 kEnV (Berechnungen, Rechnungen, etc.)</t>
  </si>
  <si>
    <t>Simulation der benötigten Elektrizitätsmenge durch spezialisiertes Büro erstellt (Art. 60 Ab. 1, 3 und 4 kEnV)</t>
  </si>
  <si>
    <t>Vollständiges Antragsdossier für eine finanzielle Beteiligung gemäss Art. 59 Ab. 2 kEnV</t>
  </si>
  <si>
    <t>Note: Le mode rafraîchissement d'une PAC réversible doit être intégrée au calcul dès lors que la PAC est équipée des composants nécessaires pour produire et utiliser du froid.</t>
  </si>
  <si>
    <t>Extrapolation linéaire EER</t>
  </si>
  <si>
    <t>Entrées</t>
  </si>
  <si>
    <t>Type de machine froid</t>
  </si>
  <si>
    <t>P machine froid</t>
  </si>
  <si>
    <t>EER extrapolé</t>
  </si>
  <si>
    <t>Données SIA</t>
  </si>
  <si>
    <t>calculs/recherches excel</t>
  </si>
  <si>
    <t>Type</t>
  </si>
  <si>
    <t>P [kW]</t>
  </si>
  <si>
    <t>EER limite</t>
  </si>
  <si>
    <t>delta P</t>
  </si>
  <si>
    <t>delta EER</t>
  </si>
  <si>
    <t>EER/kW</t>
  </si>
  <si>
    <t>type</t>
  </si>
  <si>
    <t>catégorie</t>
  </si>
  <si>
    <t>2=résultat</t>
  </si>
  <si>
    <t>calculs</t>
  </si>
  <si>
    <t>0 à 12 kW</t>
  </si>
  <si>
    <t>12kW</t>
  </si>
  <si>
    <t>12 à 100 kW</t>
  </si>
  <si>
    <t>100 kW</t>
  </si>
  <si>
    <t>100 à 300 kW</t>
  </si>
  <si>
    <t>300 kW</t>
  </si>
  <si>
    <t>300 à 600 kW</t>
  </si>
  <si>
    <t>600 kW</t>
  </si>
  <si>
    <t xml:space="preserve"> 600 à 1000 kW</t>
  </si>
  <si>
    <t>1000 kW</t>
  </si>
  <si>
    <t>&gt;1000 kW</t>
  </si>
  <si>
    <t>EER état technique (charge 100%)</t>
  </si>
  <si>
    <r>
      <t xml:space="preserve">Documents à fournir </t>
    </r>
    <r>
      <rPr>
        <b/>
        <sz val="12"/>
        <color theme="9"/>
        <rFont val="Arial"/>
        <family val="2"/>
      </rPr>
      <t>dans le cadre de cette annexe</t>
    </r>
  </si>
  <si>
    <r>
      <t>EN-VS-104</t>
    </r>
    <r>
      <rPr>
        <b/>
        <sz val="16"/>
        <rFont val="Arial"/>
        <family val="2"/>
      </rPr>
      <t xml:space="preserve">
annexe art. 59 OcEne</t>
    </r>
  </si>
  <si>
    <t>fournir simulation en annexe</t>
  </si>
  <si>
    <t>Production propre d'électricitésur le site proposé en participation financière :</t>
  </si>
  <si>
    <r>
      <t>Production propre d'électricité projetée</t>
    </r>
    <r>
      <rPr>
        <b/>
        <sz val="14"/>
        <color theme="9"/>
        <rFont val="Arial"/>
        <family val="2"/>
      </rPr>
      <t xml:space="preserve"> sur le site du projet</t>
    </r>
  </si>
  <si>
    <t>Annexe art. 59</t>
  </si>
  <si>
    <t>Adresse et propriétaire de l'installation où la participation financière est souhaitée :</t>
  </si>
  <si>
    <t>nom/prénom ou entreprise</t>
  </si>
  <si>
    <t xml:space="preserve">Promoteur de l'installation </t>
  </si>
  <si>
    <t>Copie du contrat de participation financière</t>
  </si>
  <si>
    <t>n° d'installation</t>
  </si>
  <si>
    <r>
      <t xml:space="preserve">Production électrique sur le site qui aurait du être équipé : </t>
    </r>
    <r>
      <rPr>
        <b/>
        <sz val="11"/>
        <color theme="9"/>
        <rFont val="Arial"/>
        <family val="2"/>
      </rPr>
      <t>pour la puissance requise sur le site initial !</t>
    </r>
  </si>
  <si>
    <t>Pspécif panneaux selon période / site INITIAL</t>
  </si>
  <si>
    <t>Pspécif panneaux selon période / site PARTICIPATION FINANCIERE</t>
  </si>
  <si>
    <t>Simulation/calcul de l'énergie spécifique produite sur le site initial - Calculateur Suisse Energie ou autre</t>
  </si>
  <si>
    <r>
      <t xml:space="preserve">Puissance minimale requise sur le site proposé pour la participation financière : 
</t>
    </r>
    <r>
      <rPr>
        <i/>
        <sz val="10"/>
        <rFont val="Arial"/>
        <family val="2"/>
      </rPr>
      <t>(y compris besoins saisonniers éventuels pour chauffage, refroidissement, (dés)humdification)</t>
    </r>
  </si>
  <si>
    <r>
      <t xml:space="preserve">Puissance de l'installation simulée </t>
    </r>
    <r>
      <rPr>
        <b/>
        <sz val="11"/>
        <rFont val="Arial"/>
        <family val="2"/>
      </rPr>
      <t>sur le site initial</t>
    </r>
    <r>
      <rPr>
        <sz val="11"/>
        <rFont val="Arial"/>
        <family val="2"/>
      </rPr>
      <t xml:space="preserve"> :</t>
    </r>
  </si>
  <si>
    <t>fournir la copie du contrat de participation financière en annexe</t>
  </si>
  <si>
    <t>Simulation der Elektrizitätserzeugung am Standort des betreffenden Projekts</t>
  </si>
  <si>
    <t xml:space="preserve">   utilisant une ressource énergétique renouvelable (art. 59 OcEne)</t>
  </si>
  <si>
    <t xml:space="preserve">   die eine erneuerbare Energieressource nutzt (Art. 59 kEnV)</t>
  </si>
  <si>
    <t>N° de la parcelle du lieu de l'installation photovoltaïque participative</t>
  </si>
  <si>
    <t>Puissance de l'installation photovoltaïque participative :</t>
  </si>
  <si>
    <t>Copie de la lettre d'enregistrement (y compris annexe) de l'installation photovoltaïque participative</t>
  </si>
  <si>
    <t>Problème: la participation excède la puissance de l'installation.</t>
  </si>
  <si>
    <t>kWc init</t>
  </si>
  <si>
    <t>kWc partic</t>
  </si>
  <si>
    <t>annuel</t>
  </si>
  <si>
    <t xml:space="preserve">   Production solaire photovoltaïque - dimensionnement des champs solaires photovoltaïques</t>
  </si>
  <si>
    <t xml:space="preserve">    Photovoltaische Solarproduktion - Dimensionierung von photovoltaischen Solarfeldern</t>
  </si>
  <si>
    <r>
      <t>EN-VS-104</t>
    </r>
    <r>
      <rPr>
        <b/>
        <sz val="16"/>
        <rFont val="Arial"/>
        <family val="2"/>
      </rPr>
      <t xml:space="preserve">
Anhang Art. 59 kEnV</t>
    </r>
  </si>
  <si>
    <r>
      <rPr>
        <sz val="11"/>
        <rFont val="Arial"/>
        <family val="2"/>
      </rPr>
      <t xml:space="preserve">Energienachweis
</t>
    </r>
    <r>
      <rPr>
        <b/>
        <sz val="12"/>
        <rFont val="Arial"/>
        <family val="2"/>
      </rPr>
      <t>Eigene Elektrizitätserzeugung</t>
    </r>
  </si>
  <si>
    <r>
      <t xml:space="preserve">Anhänge, die im Rahmen dieses Formular erforderlich sind, </t>
    </r>
    <r>
      <rPr>
        <b/>
        <sz val="12"/>
        <color theme="9"/>
        <rFont val="Arial"/>
        <family val="2"/>
      </rPr>
      <t>entsprechend den eingegebenen Informationen</t>
    </r>
  </si>
  <si>
    <t>Simulation/Berechnung der erzeugten spezifischen Energie die am ursprünglichen Standort produziert sollte - EnergieSchweiz Rechner oder andere</t>
  </si>
  <si>
    <t>Kopie des Schreibens, mit dem die DEWK die Registrierung der PV-Anlage bestätigt (inkl. Anhang)</t>
  </si>
  <si>
    <t>Kopie des Vertrags über die finanzielle Beteiligung</t>
  </si>
  <si>
    <t>Puissance acquise par participation financière :</t>
  </si>
  <si>
    <t>Simulation/Berechnung anzugeben</t>
  </si>
  <si>
    <t>Kopie des Vertrags über die finanzielle Beteiligung in beilage anzugeben</t>
  </si>
  <si>
    <t>May</t>
  </si>
  <si>
    <r>
      <t xml:space="preserve">Simulierte Anlagenleistung </t>
    </r>
    <r>
      <rPr>
        <b/>
        <sz val="11"/>
        <rFont val="Arial"/>
        <family val="2"/>
      </rPr>
      <t>am ursprünglichen Standort :</t>
    </r>
  </si>
  <si>
    <t>Eigene Stromerzeugung am vorgeschlagenen Standort mit finanzieller Beteiligung :</t>
  </si>
  <si>
    <t>Adresse und Eigentümer der Einrichtung, in der die finanzielle Beteiligung gewünscht wird :</t>
  </si>
  <si>
    <t>Förderer der Einrichtung</t>
  </si>
  <si>
    <t>Installation Nr.</t>
  </si>
  <si>
    <t>Name/Vorname oder Firma</t>
  </si>
  <si>
    <t>Parzelle Nr. am Ort der partizipativen Photovoltaikanlage</t>
  </si>
  <si>
    <t>Leistung der partizipativen Photovoltaikanlage :</t>
  </si>
  <si>
    <r>
      <t xml:space="preserve">Mindestleistungsbedarf an dem für die finanzielle Beteiligung vorgeschlagenen Standort :
</t>
    </r>
    <r>
      <rPr>
        <sz val="10"/>
        <rFont val="Arial"/>
        <family val="2"/>
      </rPr>
      <t>(einschliesslich eines eventuellen saisonalen Bedarfs für Heizung, Kühlung, (Ent-)Befeuchtung)</t>
    </r>
  </si>
  <si>
    <t>Durch finanzielle Beteiligung erworbene Leistung :</t>
  </si>
  <si>
    <t>Hinweis: Die Kühlung einer reversiblen WP muss in die Berechnung einbezogen werden, sobald die WP mit  den erforderlichen Komponenten ausgestattet ist, um Kühlenergie zu erzeugen und zu nutzen.</t>
  </si>
  <si>
    <t xml:space="preserve">  Energiebedarf (vereinfachte Berechnung)</t>
  </si>
  <si>
    <t xml:space="preserve">  Energiebedarf (Simulation Art. 60 Abs. 4 kEnV)</t>
  </si>
  <si>
    <t>kWp werden benötigt, um den Bedarf des  Projekts abzudecken</t>
  </si>
  <si>
    <r>
      <t>Stromerzeugung am Standort, der hätte ausgestattet werden müssen :</t>
    </r>
    <r>
      <rPr>
        <b/>
        <sz val="11"/>
        <color theme="9"/>
        <rFont val="Arial"/>
        <family val="2"/>
      </rPr>
      <t xml:space="preserve"> für die am ursprünglichen Standort benötigte Leistung !</t>
    </r>
  </si>
  <si>
    <t>Tel / E-Mail :</t>
  </si>
  <si>
    <t>VON DER ZUSTÄNDIGEN BEHÖRDE AUSZUFÜLLEN
(oder sein Beauftragter)
Die Vollständigkeit und die Richtigkeit wird bestätigt</t>
  </si>
  <si>
    <t>tél / e-mail :</t>
  </si>
  <si>
    <t>Version décembre 2025 (valable  jusqu'au 31.12.2026)</t>
  </si>
  <si>
    <t>Version Dezember 2025 (gültig bis 31.12.2026)</t>
  </si>
  <si>
    <r>
      <rPr>
        <b/>
        <i/>
        <sz val="10"/>
        <color rgb="FFFF0000"/>
        <rFont val="Arial"/>
        <family val="2"/>
      </rPr>
      <t>Important :</t>
    </r>
    <r>
      <rPr>
        <i/>
        <sz val="10"/>
        <color rgb="FFFF0000"/>
        <rFont val="Arial"/>
        <family val="2"/>
      </rPr>
      <t xml:space="preserve"> La demande d'une participation financière selon art. 59 OcEne doit dans tous les cas être soumise pour préavis au SEFH.</t>
    </r>
  </si>
  <si>
    <r>
      <t>Wichtiger Hinweis:</t>
    </r>
    <r>
      <rPr>
        <sz val="10"/>
        <color rgb="FFFF0000"/>
        <rFont val="Arial"/>
        <family val="2"/>
      </rPr>
      <t xml:space="preserve"> Das Gesuch um eine finanzielle Beteiligung gemäss Art. 59 kEnV muss in jedem Fall der DEWK für eine Vormeinung zugestellt werden.</t>
    </r>
  </si>
  <si>
    <t>PAC rév. dans habitat sans éléments actifs supplémentaires d’émission de froid</t>
  </si>
  <si>
    <t>Rev. WP für Wohnbauten ohne zusätzliche aktive Kühlabgabeelemente</t>
  </si>
  <si>
    <t>Protec solaires habitat</t>
  </si>
  <si>
    <t>Protec solaires HORS habitat</t>
  </si>
  <si>
    <t>habitat ?</t>
  </si>
  <si>
    <t>SRE total:</t>
  </si>
  <si>
    <t>EBF Total:</t>
  </si>
  <si>
    <t>EBF Bestand :</t>
  </si>
  <si>
    <t>EBF Bereich Neubau/Erweiterung :</t>
  </si>
  <si>
    <t>SRE neuf ou agrand. :</t>
  </si>
  <si>
    <t>Version 14. April 2026 (gültig bis 31.12.2026)</t>
  </si>
  <si>
    <t>Version 14 avril 2026 (valable  jusqu'au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</si>
</sst>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
    <numFmt numFmtId="167" formatCode="_-* #,##0.0_-;\-* #,##0.0_-;_-* &quot;-&quot;??_-;_-@_-"/>
    <numFmt numFmtId="168" formatCode="0.0"/>
    <numFmt numFmtId="169" formatCode="0.0000"/>
    <numFmt numFmtId="170" formatCode="_-* #,##0.0000_-;\-* #,##0.0000_-;_-* &quot;-&quot;??_-;_-@_-"/>
    <numFmt numFmtId="171" formatCode="_-* #,##0\ _C_H_F_-;\-* #,##0\ _C_H_F_-;_-* &quot;-&quot;?\ _C_H_F_-;_-@_-"/>
    <numFmt numFmtId="172" formatCode="_-* #,##0.00\ _C_H_F_-;\-* #,##0.00\ _C_H_F_-;_-* &quot;-&quot;??\ _C_H_F_-;_-@_-"/>
  </numFmts>
  <fonts count="130" x14ac:knownFonts="1">
    <font>
      <sz val="10"/>
      <color rgb="FF000000"/>
      <name val="Times New Roman"/>
      <charset val="204"/>
    </font>
    <font>
      <sz val="11"/>
      <color theme="1"/>
      <name val="Calibri"/>
      <family val="2"/>
      <scheme val="minor"/>
    </font>
    <font>
      <b/>
      <sz val="12"/>
      <name val="Arial"/>
      <family val="2"/>
    </font>
    <font>
      <b/>
      <sz val="20"/>
      <name val="Arial"/>
      <family val="2"/>
    </font>
    <font>
      <sz val="10"/>
      <color rgb="FF000000"/>
      <name val="Arial"/>
      <family val="2"/>
    </font>
    <font>
      <sz val="10"/>
      <name val="Arial"/>
      <family val="2"/>
    </font>
    <font>
      <sz val="11"/>
      <name val="Arial"/>
      <family val="2"/>
    </font>
    <font>
      <b/>
      <sz val="10"/>
      <color rgb="FF000000"/>
      <name val="Arial"/>
      <family val="2"/>
    </font>
    <font>
      <b/>
      <sz val="11"/>
      <color rgb="FF000000"/>
      <name val="Arial"/>
      <family val="2"/>
    </font>
    <font>
      <b/>
      <sz val="12"/>
      <color rgb="FF000000"/>
      <name val="Arial"/>
      <family val="2"/>
    </font>
    <font>
      <sz val="9"/>
      <color rgb="FF000000"/>
      <name val="Arial"/>
      <family val="2"/>
    </font>
    <font>
      <i/>
      <sz val="8.5"/>
      <color rgb="FF000000"/>
      <name val="Arial"/>
      <family val="2"/>
    </font>
    <font>
      <b/>
      <sz val="8"/>
      <color rgb="FF000000"/>
      <name val="Arial"/>
      <family val="2"/>
    </font>
    <font>
      <b/>
      <sz val="9"/>
      <color rgb="FF000000"/>
      <name val="Arial"/>
      <family val="2"/>
    </font>
    <font>
      <u/>
      <sz val="10"/>
      <color theme="10"/>
      <name val="Times New Roman"/>
      <family val="1"/>
    </font>
    <font>
      <sz val="10"/>
      <color rgb="FF000000"/>
      <name val="Times New Roman"/>
      <family val="1"/>
    </font>
    <font>
      <b/>
      <vertAlign val="subscript"/>
      <sz val="10"/>
      <color rgb="FF000000"/>
      <name val="Arial"/>
      <family val="2"/>
    </font>
    <font>
      <i/>
      <sz val="10"/>
      <color rgb="FF000000"/>
      <name val="Arial"/>
      <family val="2"/>
    </font>
    <font>
      <b/>
      <i/>
      <sz val="11"/>
      <color rgb="FFFF0000"/>
      <name val="Arial"/>
      <family val="2"/>
    </font>
    <font>
      <b/>
      <i/>
      <sz val="10"/>
      <color rgb="FF000000"/>
      <name val="Arial"/>
      <family val="2"/>
    </font>
    <font>
      <b/>
      <i/>
      <sz val="8.5"/>
      <color rgb="FF000000"/>
      <name val="Arial"/>
      <family val="2"/>
    </font>
    <font>
      <i/>
      <sz val="12"/>
      <color theme="0" tint="-0.499984740745262"/>
      <name val="Arial"/>
      <family val="2"/>
    </font>
    <font>
      <sz val="12"/>
      <color theme="0"/>
      <name val="Arial"/>
      <family val="2"/>
    </font>
    <font>
      <sz val="8.5"/>
      <color rgb="FF000000"/>
      <name val="Arial"/>
      <family val="2"/>
    </font>
    <font>
      <sz val="9"/>
      <color rgb="FFFF0000"/>
      <name val="Arial"/>
      <family val="2"/>
    </font>
    <font>
      <sz val="9"/>
      <color theme="9"/>
      <name val="Arial"/>
      <family val="2"/>
    </font>
    <font>
      <sz val="10"/>
      <color theme="9"/>
      <name val="Arial"/>
      <family val="2"/>
    </font>
    <font>
      <b/>
      <vertAlign val="superscript"/>
      <sz val="10"/>
      <color rgb="FF000000"/>
      <name val="Arial"/>
      <family val="2"/>
    </font>
    <font>
      <i/>
      <sz val="11"/>
      <color rgb="FFFF0000"/>
      <name val="Arial"/>
      <family val="2"/>
    </font>
    <font>
      <i/>
      <sz val="9"/>
      <color rgb="FFFF0000"/>
      <name val="Arial"/>
      <family val="2"/>
    </font>
    <font>
      <sz val="10"/>
      <color theme="0" tint="-0.249977111117893"/>
      <name val="Arial"/>
      <family val="2"/>
    </font>
    <font>
      <sz val="10"/>
      <color theme="0"/>
      <name val="Arial"/>
      <family val="2"/>
    </font>
    <font>
      <vertAlign val="superscript"/>
      <sz val="9"/>
      <color rgb="FF000000"/>
      <name val="Arial"/>
      <family val="2"/>
    </font>
    <font>
      <vertAlign val="superscript"/>
      <sz val="8.5"/>
      <color rgb="FF000000"/>
      <name val="Arial"/>
      <family val="2"/>
    </font>
    <font>
      <b/>
      <sz val="12"/>
      <color theme="0" tint="-0.249977111117893"/>
      <name val="Arial"/>
      <family val="2"/>
    </font>
    <font>
      <b/>
      <sz val="10"/>
      <name val="Arial"/>
      <family val="2"/>
    </font>
    <font>
      <i/>
      <sz val="9"/>
      <color theme="9"/>
      <name val="Arial"/>
      <family val="2"/>
    </font>
    <font>
      <b/>
      <i/>
      <sz val="8.5"/>
      <name val="Arial"/>
      <family val="2"/>
    </font>
    <font>
      <sz val="9"/>
      <color indexed="81"/>
      <name val="Tahoma"/>
      <family val="2"/>
    </font>
    <font>
      <i/>
      <sz val="10"/>
      <color theme="7" tint="0.39997558519241921"/>
      <name val="Arial"/>
      <family val="2"/>
    </font>
    <font>
      <i/>
      <sz val="9"/>
      <color theme="9" tint="-0.249977111117893"/>
      <name val="Arial"/>
      <family val="2"/>
    </font>
    <font>
      <i/>
      <sz val="11"/>
      <color rgb="FF000000"/>
      <name val="Arial"/>
      <family val="2"/>
    </font>
    <font>
      <i/>
      <sz val="10"/>
      <color theme="9" tint="-0.249977111117893"/>
      <name val="Arial"/>
      <family val="2"/>
    </font>
    <font>
      <i/>
      <sz val="9"/>
      <color rgb="FF000000"/>
      <name val="Arial"/>
      <family val="2"/>
    </font>
    <font>
      <b/>
      <sz val="9"/>
      <color indexed="81"/>
      <name val="Tahoma"/>
      <family val="2"/>
    </font>
    <font>
      <sz val="10"/>
      <color rgb="FFFF0000"/>
      <name val="Arial"/>
      <family val="2"/>
    </font>
    <font>
      <sz val="12"/>
      <color rgb="FF34373A"/>
      <name val="Courier New"/>
      <family val="3"/>
    </font>
    <font>
      <sz val="10"/>
      <color theme="0" tint="-0.499984740745262"/>
      <name val="Arial"/>
      <family val="2"/>
    </font>
    <font>
      <sz val="9"/>
      <color theme="0" tint="-0.499984740745262"/>
      <name val="Arial"/>
      <family val="2"/>
    </font>
    <font>
      <b/>
      <sz val="12"/>
      <color theme="0" tint="-0.499984740745262"/>
      <name val="Arial"/>
      <family val="2"/>
    </font>
    <font>
      <i/>
      <sz val="10"/>
      <color theme="0" tint="-0.499984740745262"/>
      <name val="Arial"/>
      <family val="2"/>
    </font>
    <font>
      <i/>
      <sz val="8.5"/>
      <color theme="0" tint="-0.499984740745262"/>
      <name val="Arial"/>
      <family val="2"/>
    </font>
    <font>
      <i/>
      <sz val="9"/>
      <color theme="0" tint="-0.499984740745262"/>
      <name val="Arial"/>
      <family val="2"/>
    </font>
    <font>
      <sz val="10"/>
      <color rgb="FF00B0F0"/>
      <name val="Arial"/>
      <family val="2"/>
    </font>
    <font>
      <b/>
      <sz val="11"/>
      <name val="Arial"/>
      <family val="2"/>
    </font>
    <font>
      <b/>
      <i/>
      <sz val="10"/>
      <color rgb="FFFF0000"/>
      <name val="Arial"/>
      <family val="2"/>
    </font>
    <font>
      <b/>
      <i/>
      <sz val="10"/>
      <name val="Arial"/>
      <family val="2"/>
    </font>
    <font>
      <sz val="12"/>
      <name val="Arial"/>
      <family val="2"/>
    </font>
    <font>
      <i/>
      <sz val="10"/>
      <name val="Arial"/>
      <family val="2"/>
    </font>
    <font>
      <i/>
      <sz val="8.5"/>
      <name val="Arial"/>
      <family val="2"/>
    </font>
    <font>
      <u/>
      <sz val="10"/>
      <color rgb="FF000000"/>
      <name val="Arial"/>
      <family val="2"/>
    </font>
    <font>
      <sz val="8"/>
      <color rgb="FF000000"/>
      <name val="Segoe UI"/>
      <family val="2"/>
    </font>
    <font>
      <b/>
      <sz val="8"/>
      <color indexed="81"/>
      <name val="Tahoma"/>
      <family val="2"/>
    </font>
    <font>
      <sz val="8"/>
      <color indexed="81"/>
      <name val="Tahoma"/>
      <family val="2"/>
    </font>
    <font>
      <b/>
      <i/>
      <sz val="9"/>
      <color theme="9" tint="-0.249977111117893"/>
      <name val="Arial"/>
      <family val="2"/>
    </font>
    <font>
      <b/>
      <sz val="10"/>
      <color theme="0" tint="-0.499984740745262"/>
      <name val="Arial"/>
      <family val="2"/>
    </font>
    <font>
      <i/>
      <sz val="8"/>
      <color rgb="FF000000"/>
      <name val="Times New Roman"/>
      <family val="1"/>
    </font>
    <font>
      <b/>
      <i/>
      <sz val="8"/>
      <color rgb="FF000000"/>
      <name val="Arial"/>
      <family val="2"/>
    </font>
    <font>
      <i/>
      <sz val="8"/>
      <color rgb="FF000000"/>
      <name val="Arial"/>
      <family val="2"/>
    </font>
    <font>
      <i/>
      <sz val="8"/>
      <color theme="9"/>
      <name val="Arial"/>
      <family val="2"/>
    </font>
    <font>
      <i/>
      <sz val="8"/>
      <color theme="0" tint="-0.499984740745262"/>
      <name val="Arial"/>
      <family val="2"/>
    </font>
    <font>
      <b/>
      <sz val="12"/>
      <color rgb="FF000000"/>
      <name val="Calibri"/>
      <family val="2"/>
    </font>
    <font>
      <b/>
      <sz val="13.8"/>
      <color rgb="FF000000"/>
      <name val="Arial"/>
      <family val="2"/>
    </font>
    <font>
      <sz val="14"/>
      <color rgb="FF000000"/>
      <name val="Arial"/>
      <family val="2"/>
    </font>
    <font>
      <b/>
      <sz val="14"/>
      <color rgb="FF000000"/>
      <name val="Arial"/>
      <family val="2"/>
    </font>
    <font>
      <i/>
      <vertAlign val="superscript"/>
      <sz val="10"/>
      <color rgb="FF000000"/>
      <name val="Arial"/>
      <family val="2"/>
    </font>
    <font>
      <i/>
      <vertAlign val="superscript"/>
      <sz val="10"/>
      <name val="Arial"/>
      <family val="2"/>
    </font>
    <font>
      <b/>
      <i/>
      <vertAlign val="superscript"/>
      <sz val="10"/>
      <name val="Arial"/>
      <family val="2"/>
    </font>
    <font>
      <i/>
      <sz val="10"/>
      <color theme="9"/>
      <name val="Arial"/>
      <family val="2"/>
    </font>
    <font>
      <sz val="12"/>
      <color rgb="FF000000"/>
      <name val="Arial"/>
      <family val="2"/>
    </font>
    <font>
      <i/>
      <sz val="10"/>
      <color theme="0"/>
      <name val="Arial"/>
      <family val="2"/>
    </font>
    <font>
      <i/>
      <sz val="8.5"/>
      <color theme="9"/>
      <name val="Arial"/>
      <family val="2"/>
    </font>
    <font>
      <b/>
      <i/>
      <u/>
      <sz val="10"/>
      <color rgb="FF000000"/>
      <name val="Arial"/>
      <family val="2"/>
    </font>
    <font>
      <b/>
      <sz val="10"/>
      <color rgb="FF000000"/>
      <name val="Calibri"/>
      <family val="2"/>
    </font>
    <font>
      <b/>
      <i/>
      <sz val="13"/>
      <color rgb="FF000000"/>
      <name val="Arial"/>
      <family val="2"/>
    </font>
    <font>
      <sz val="10"/>
      <color theme="0" tint="-0.34998626667073579"/>
      <name val="Arial"/>
      <family val="2"/>
    </font>
    <font>
      <i/>
      <sz val="8"/>
      <color theme="0" tint="-0.34998626667073579"/>
      <name val="Arial"/>
      <family val="2"/>
    </font>
    <font>
      <sz val="9"/>
      <color theme="0" tint="-0.34998626667073579"/>
      <name val="Arial"/>
      <family val="2"/>
    </font>
    <font>
      <b/>
      <sz val="10"/>
      <color theme="0" tint="-0.34998626667073579"/>
      <name val="Arial"/>
      <family val="2"/>
    </font>
    <font>
      <b/>
      <sz val="12"/>
      <name val="Calibri"/>
      <family val="2"/>
    </font>
    <font>
      <i/>
      <sz val="12"/>
      <name val="Arial"/>
      <family val="2"/>
    </font>
    <font>
      <i/>
      <sz val="9"/>
      <name val="Arial"/>
      <family val="2"/>
    </font>
    <font>
      <sz val="9"/>
      <name val="Arial"/>
      <family val="2"/>
    </font>
    <font>
      <b/>
      <i/>
      <sz val="9"/>
      <name val="Arial"/>
      <family val="2"/>
    </font>
    <font>
      <i/>
      <sz val="8"/>
      <name val="Arial"/>
      <family val="2"/>
    </font>
    <font>
      <i/>
      <sz val="11"/>
      <name val="Arial"/>
      <family val="2"/>
    </font>
    <font>
      <b/>
      <sz val="13.8"/>
      <name val="Arial"/>
      <family val="2"/>
    </font>
    <font>
      <b/>
      <i/>
      <sz val="11"/>
      <color rgb="FF000000"/>
      <name val="Arial"/>
      <family val="2"/>
    </font>
    <font>
      <sz val="11"/>
      <color rgb="FF000000"/>
      <name val="Arial"/>
      <family val="2"/>
    </font>
    <font>
      <b/>
      <i/>
      <sz val="9"/>
      <color rgb="FF000000"/>
      <name val="Arial"/>
      <family val="2"/>
    </font>
    <font>
      <sz val="12"/>
      <color rgb="FFFF0000"/>
      <name val="Arial"/>
      <family val="2"/>
    </font>
    <font>
      <b/>
      <sz val="10"/>
      <color rgb="FFFF0000"/>
      <name val="Arial"/>
      <family val="2"/>
    </font>
    <font>
      <i/>
      <sz val="11"/>
      <color theme="9"/>
      <name val="Arial"/>
      <family val="2"/>
    </font>
    <font>
      <sz val="10"/>
      <color theme="0" tint="-0.34998626667073579"/>
      <name val="Calibri"/>
      <family val="2"/>
    </font>
    <font>
      <sz val="10"/>
      <color rgb="FF000000"/>
      <name val="Calibri"/>
      <family val="2"/>
    </font>
    <font>
      <sz val="10"/>
      <color rgb="FF000000"/>
      <name val="Times New Roman"/>
      <family val="1"/>
    </font>
    <font>
      <b/>
      <i/>
      <sz val="10"/>
      <color theme="9"/>
      <name val="Arial"/>
      <family val="2"/>
    </font>
    <font>
      <b/>
      <sz val="12"/>
      <color rgb="FFFF0000"/>
      <name val="Arial"/>
      <family val="2"/>
    </font>
    <font>
      <i/>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b/>
      <i/>
      <sz val="16"/>
      <color theme="5"/>
      <name val="Calibri"/>
      <family val="2"/>
      <scheme val="minor"/>
    </font>
    <font>
      <b/>
      <sz val="16"/>
      <color rgb="FF00B050"/>
      <name val="Calibri"/>
      <family val="2"/>
      <scheme val="minor"/>
    </font>
    <font>
      <i/>
      <sz val="16"/>
      <color theme="0" tint="-0.499984740745262"/>
      <name val="Calibri"/>
      <family val="2"/>
      <scheme val="minor"/>
    </font>
    <font>
      <i/>
      <sz val="12"/>
      <color theme="1"/>
      <name val="Calibri"/>
      <family val="2"/>
      <scheme val="minor"/>
    </font>
    <font>
      <b/>
      <sz val="12"/>
      <color theme="9"/>
      <name val="Arial"/>
      <family val="2"/>
    </font>
    <font>
      <sz val="10"/>
      <color theme="0" tint="-0.34998626667073579"/>
      <name val="Aptos Narrow"/>
      <family val="2"/>
    </font>
    <font>
      <sz val="11"/>
      <color theme="0" tint="-0.34998626667073579"/>
      <name val="Calibri"/>
      <family val="2"/>
      <scheme val="minor"/>
    </font>
    <font>
      <b/>
      <sz val="11"/>
      <color theme="0" tint="-0.34998626667073579"/>
      <name val="Calibri"/>
      <family val="2"/>
      <scheme val="minor"/>
    </font>
    <font>
      <sz val="10"/>
      <color theme="0" tint="-0.34998626667073579"/>
      <name val="Calibri"/>
      <family val="2"/>
      <scheme val="minor"/>
    </font>
    <font>
      <b/>
      <sz val="16"/>
      <name val="Arial"/>
      <family val="2"/>
    </font>
    <font>
      <b/>
      <sz val="14"/>
      <color theme="9"/>
      <name val="Arial"/>
      <family val="2"/>
    </font>
    <font>
      <b/>
      <sz val="11"/>
      <color theme="9"/>
      <name val="Arial"/>
      <family val="2"/>
    </font>
    <font>
      <i/>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3D98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8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bottom style="dashDotDot">
        <color auto="1"/>
      </bottom>
      <diagonal/>
    </border>
    <border>
      <left style="thin">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double">
        <color indexed="64"/>
      </bottom>
      <diagonal/>
    </border>
    <border>
      <left style="thin">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auto="1"/>
      </right>
      <top style="dashDotDot">
        <color auto="1"/>
      </top>
      <bottom/>
      <diagonal/>
    </border>
    <border>
      <left/>
      <right/>
      <top/>
      <bottom style="hair">
        <color auto="1"/>
      </bottom>
      <diagonal/>
    </border>
    <border>
      <left/>
      <right/>
      <top style="hair">
        <color auto="1"/>
      </top>
      <bottom/>
      <diagonal/>
    </border>
    <border>
      <left style="thin">
        <color indexed="64"/>
      </left>
      <right/>
      <top style="hair">
        <color auto="1"/>
      </top>
      <bottom/>
      <diagonal/>
    </border>
    <border>
      <left/>
      <right/>
      <top style="thin">
        <color theme="0" tint="-0.34998626667073579"/>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tint="-0.24994659260841701"/>
      </left>
      <right style="thin">
        <color indexed="64"/>
      </right>
      <top/>
      <bottom style="thin">
        <color theme="0" tint="-0.2499465926084170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s>
  <cellStyleXfs count="6">
    <xf numFmtId="0" fontId="0" fillId="0" borderId="0"/>
    <xf numFmtId="0" fontId="14" fillId="0" borderId="0" applyNumberFormat="0" applyFill="0" applyBorder="0" applyAlignment="0" applyProtection="0"/>
    <xf numFmtId="43" fontId="15" fillId="0" borderId="0" applyFont="0" applyFill="0" applyBorder="0" applyAlignment="0" applyProtection="0"/>
    <xf numFmtId="9" fontId="105" fillId="0" borderId="0" applyFont="0" applyFill="0" applyBorder="0" applyAlignment="0" applyProtection="0"/>
    <xf numFmtId="0" fontId="1" fillId="0" borderId="0"/>
    <xf numFmtId="0" fontId="112" fillId="0" borderId="0" applyNumberFormat="0" applyFill="0" applyBorder="0" applyAlignment="0" applyProtection="0"/>
  </cellStyleXfs>
  <cellXfs count="863">
    <xf numFmtId="0" fontId="0" fillId="0" borderId="0" xfId="0"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23" xfId="0" applyFont="1" applyFill="1" applyBorder="1" applyAlignment="1">
      <alignment horizontal="left" vertical="top"/>
    </xf>
    <xf numFmtId="0" fontId="7" fillId="2" borderId="18" xfId="0" applyFont="1" applyFill="1" applyBorder="1" applyAlignment="1">
      <alignment horizontal="center" vertical="top"/>
    </xf>
    <xf numFmtId="0" fontId="7" fillId="2" borderId="2" xfId="0" applyFont="1" applyFill="1" applyBorder="1" applyAlignment="1">
      <alignment horizontal="center" vertical="top"/>
    </xf>
    <xf numFmtId="0" fontId="7" fillId="2" borderId="19" xfId="0" applyFont="1" applyFill="1" applyBorder="1" applyAlignment="1">
      <alignment horizontal="center" vertical="top"/>
    </xf>
    <xf numFmtId="1" fontId="4" fillId="2" borderId="4" xfId="0" applyNumberFormat="1" applyFont="1" applyFill="1" applyBorder="1" applyAlignment="1">
      <alignment horizontal="center" vertical="top"/>
    </xf>
    <xf numFmtId="1" fontId="4" fillId="2" borderId="22" xfId="0" applyNumberFormat="1" applyFont="1" applyFill="1" applyBorder="1" applyAlignment="1">
      <alignment horizontal="center" vertical="top"/>
    </xf>
    <xf numFmtId="1" fontId="4" fillId="2" borderId="5" xfId="0" applyNumberFormat="1" applyFont="1" applyFill="1" applyBorder="1" applyAlignment="1">
      <alignment horizontal="center" vertical="top"/>
    </xf>
    <xf numFmtId="1" fontId="4" fillId="2" borderId="24" xfId="0" applyNumberFormat="1" applyFont="1" applyFill="1" applyBorder="1" applyAlignment="1">
      <alignment horizontal="center" vertical="top"/>
    </xf>
    <xf numFmtId="0" fontId="4" fillId="2" borderId="22" xfId="0" applyFont="1" applyFill="1" applyBorder="1" applyAlignment="1">
      <alignment horizontal="left" vertical="top"/>
    </xf>
    <xf numFmtId="0" fontId="4" fillId="2" borderId="3" xfId="0" applyFont="1" applyFill="1" applyBorder="1" applyAlignment="1">
      <alignment horizontal="left" vertical="top"/>
    </xf>
    <xf numFmtId="0" fontId="4" fillId="2" borderId="24" xfId="0" applyFont="1" applyFill="1" applyBorder="1" applyAlignment="1">
      <alignment horizontal="left" vertical="top"/>
    </xf>
    <xf numFmtId="0" fontId="4" fillId="2" borderId="1" xfId="0" applyFont="1" applyFill="1" applyBorder="1" applyAlignment="1">
      <alignment horizontal="left" vertical="center"/>
    </xf>
    <xf numFmtId="0" fontId="4" fillId="0" borderId="0" xfId="0" applyFont="1" applyAlignment="1">
      <alignment horizontal="left" vertical="center"/>
    </xf>
    <xf numFmtId="0" fontId="10" fillId="2" borderId="0" xfId="0" applyFont="1" applyFill="1" applyAlignment="1">
      <alignment vertical="center" wrapText="1"/>
    </xf>
    <xf numFmtId="0" fontId="4" fillId="2" borderId="0" xfId="0" applyFont="1" applyFill="1" applyAlignment="1">
      <alignment vertical="center" wrapText="1"/>
    </xf>
    <xf numFmtId="0" fontId="9" fillId="2" borderId="0" xfId="0" applyFont="1" applyFill="1" applyAlignment="1">
      <alignment vertical="center"/>
    </xf>
    <xf numFmtId="0" fontId="4" fillId="2" borderId="0" xfId="0" applyFont="1" applyFill="1" applyAlignment="1">
      <alignment vertical="center"/>
    </xf>
    <xf numFmtId="0" fontId="7" fillId="2" borderId="0" xfId="0" applyFont="1" applyFill="1" applyAlignment="1">
      <alignment horizontal="center" vertical="center"/>
    </xf>
    <xf numFmtId="164"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0" fontId="4" fillId="2" borderId="0" xfId="0" applyFont="1" applyFill="1" applyAlignment="1">
      <alignment horizontal="left" vertical="center"/>
    </xf>
    <xf numFmtId="0" fontId="11" fillId="2" borderId="0" xfId="0" quotePrefix="1" applyFont="1" applyFill="1" applyAlignment="1">
      <alignment vertical="center"/>
    </xf>
    <xf numFmtId="0" fontId="8" fillId="2" borderId="0" xfId="0" applyFont="1" applyFill="1" applyAlignment="1">
      <alignment vertical="center"/>
    </xf>
    <xf numFmtId="0" fontId="18" fillId="2" borderId="0" xfId="0" applyFont="1" applyFill="1" applyAlignment="1">
      <alignment vertical="top" wrapText="1"/>
    </xf>
    <xf numFmtId="0" fontId="11" fillId="2" borderId="0" xfId="0" applyFont="1" applyFill="1" applyAlignment="1">
      <alignment vertical="center"/>
    </xf>
    <xf numFmtId="0" fontId="26" fillId="2" borderId="0" xfId="0" applyFont="1" applyFill="1" applyAlignment="1">
      <alignment vertical="center" wrapText="1"/>
    </xf>
    <xf numFmtId="0" fontId="9" fillId="2" borderId="0" xfId="0" applyFont="1" applyFill="1" applyAlignment="1">
      <alignment vertical="top"/>
    </xf>
    <xf numFmtId="0" fontId="17" fillId="2" borderId="0" xfId="0" applyFont="1" applyFill="1" applyAlignment="1">
      <alignment horizontal="left" vertical="top"/>
    </xf>
    <xf numFmtId="0" fontId="28" fillId="2" borderId="0" xfId="0" applyFont="1" applyFill="1" applyAlignment="1">
      <alignment vertical="top"/>
    </xf>
    <xf numFmtId="0" fontId="31" fillId="2" borderId="0" xfId="0" applyFont="1" applyFill="1" applyAlignment="1">
      <alignment horizontal="left" vertical="center"/>
    </xf>
    <xf numFmtId="0" fontId="23" fillId="2" borderId="0" xfId="0" applyFont="1" applyFill="1" applyAlignment="1">
      <alignment horizontal="left" vertical="center"/>
    </xf>
    <xf numFmtId="0" fontId="30" fillId="2" borderId="0" xfId="0" applyFont="1" applyFill="1" applyAlignment="1">
      <alignment horizontal="left" vertical="center"/>
    </xf>
    <xf numFmtId="0" fontId="34" fillId="2" borderId="0" xfId="0" applyFont="1" applyFill="1" applyAlignment="1">
      <alignment horizontal="left" vertical="center"/>
    </xf>
    <xf numFmtId="0" fontId="24" fillId="2" borderId="0" xfId="0" applyFont="1" applyFill="1" applyAlignment="1">
      <alignment vertical="center" wrapText="1"/>
    </xf>
    <xf numFmtId="0" fontId="36" fillId="2" borderId="0" xfId="0" applyFont="1" applyFill="1" applyAlignment="1">
      <alignment horizontal="left" vertical="center"/>
    </xf>
    <xf numFmtId="0" fontId="4" fillId="2" borderId="0" xfId="0" applyFont="1" applyFill="1" applyAlignment="1">
      <alignment horizontal="right" vertical="center"/>
    </xf>
    <xf numFmtId="0" fontId="8" fillId="2" borderId="0" xfId="0" applyFont="1" applyFill="1" applyAlignment="1">
      <alignment horizontal="right" vertical="center"/>
    </xf>
    <xf numFmtId="0" fontId="4" fillId="2" borderId="33" xfId="0" applyFont="1" applyFill="1" applyBorder="1" applyAlignment="1">
      <alignment horizontal="left" vertical="center"/>
    </xf>
    <xf numFmtId="0" fontId="39" fillId="2" borderId="0" xfId="0" applyFont="1" applyFill="1" applyAlignment="1">
      <alignment vertical="center"/>
    </xf>
    <xf numFmtId="0" fontId="42" fillId="2" borderId="0" xfId="0" applyFont="1" applyFill="1" applyAlignment="1">
      <alignment vertical="center"/>
    </xf>
    <xf numFmtId="0" fontId="43" fillId="2" borderId="0" xfId="0" applyFont="1" applyFill="1" applyAlignment="1">
      <alignment horizontal="right" vertical="center"/>
    </xf>
    <xf numFmtId="0" fontId="43" fillId="2" borderId="0" xfId="0" applyFont="1" applyFill="1" applyAlignment="1">
      <alignment horizontal="right" vertical="center" wrapText="1"/>
    </xf>
    <xf numFmtId="0" fontId="31" fillId="2" borderId="1" xfId="0" applyFont="1" applyFill="1" applyBorder="1" applyAlignment="1">
      <alignment horizontal="left" vertical="center"/>
    </xf>
    <xf numFmtId="0" fontId="14" fillId="0" borderId="0" xfId="1" applyAlignment="1">
      <alignment horizontal="left" vertical="top"/>
    </xf>
    <xf numFmtId="0" fontId="45"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xf>
    <xf numFmtId="0" fontId="48" fillId="2" borderId="0" xfId="0" applyFont="1" applyFill="1" applyAlignment="1">
      <alignment vertical="center" wrapText="1"/>
    </xf>
    <xf numFmtId="0" fontId="47" fillId="2" borderId="0" xfId="0" applyFont="1" applyFill="1" applyAlignment="1">
      <alignment vertical="center" wrapText="1"/>
    </xf>
    <xf numFmtId="0" fontId="49" fillId="2" borderId="0" xfId="0" applyFont="1" applyFill="1" applyAlignment="1">
      <alignment horizontal="left" vertical="center"/>
    </xf>
    <xf numFmtId="0" fontId="47" fillId="2" borderId="0" xfId="0" applyFont="1" applyFill="1" applyAlignment="1">
      <alignment vertical="center"/>
    </xf>
    <xf numFmtId="0" fontId="51" fillId="2" borderId="0" xfId="0" applyFont="1" applyFill="1" applyAlignment="1">
      <alignment vertical="center"/>
    </xf>
    <xf numFmtId="0" fontId="52" fillId="2" borderId="0" xfId="0" applyFont="1" applyFill="1" applyAlignment="1">
      <alignment horizontal="left" vertical="center"/>
    </xf>
    <xf numFmtId="0" fontId="21" fillId="2" borderId="0" xfId="0" applyFont="1" applyFill="1" applyAlignment="1">
      <alignment horizontal="center" vertical="center"/>
    </xf>
    <xf numFmtId="0" fontId="0" fillId="2" borderId="0" xfId="0" applyFill="1" applyAlignment="1">
      <alignment horizontal="left" vertical="top"/>
    </xf>
    <xf numFmtId="3" fontId="17" fillId="2" borderId="0" xfId="0" applyNumberFormat="1" applyFont="1" applyFill="1" applyAlignment="1">
      <alignment vertical="center" wrapText="1"/>
    </xf>
    <xf numFmtId="3" fontId="17" fillId="2" borderId="0" xfId="0" applyNumberFormat="1" applyFont="1" applyFill="1" applyAlignment="1">
      <alignment horizontal="center" vertical="center" wrapText="1"/>
    </xf>
    <xf numFmtId="3" fontId="50" fillId="2" borderId="0" xfId="0" applyNumberFormat="1" applyFont="1" applyFill="1" applyAlignment="1">
      <alignment horizontal="center" vertical="center" wrapText="1"/>
    </xf>
    <xf numFmtId="0" fontId="14" fillId="0" borderId="0" xfId="1" applyAlignment="1" applyProtection="1">
      <alignment horizontal="left" vertical="top"/>
    </xf>
    <xf numFmtId="0" fontId="4" fillId="2" borderId="0" xfId="0" applyFont="1" applyFill="1" applyAlignment="1" applyProtection="1">
      <alignment horizontal="left" vertical="center"/>
      <protection locked="0"/>
    </xf>
    <xf numFmtId="0" fontId="53" fillId="2" borderId="0" xfId="0" applyFont="1" applyFill="1" applyAlignment="1">
      <alignment horizontal="left" vertical="center"/>
    </xf>
    <xf numFmtId="2" fontId="4" fillId="2" borderId="0" xfId="0" applyNumberFormat="1" applyFont="1" applyFill="1" applyAlignment="1">
      <alignment horizontal="center" vertical="center"/>
    </xf>
    <xf numFmtId="0" fontId="46" fillId="2" borderId="0" xfId="0" quotePrefix="1" applyFont="1" applyFill="1" applyAlignment="1">
      <alignment horizontal="left" vertical="top"/>
    </xf>
    <xf numFmtId="0" fontId="20" fillId="2" borderId="0" xfId="0" applyFont="1" applyFill="1" applyAlignment="1">
      <alignment horizontal="left" vertical="center" wrapText="1"/>
    </xf>
    <xf numFmtId="0" fontId="9" fillId="2" borderId="0" xfId="0" applyFont="1" applyFill="1" applyAlignment="1">
      <alignment horizontal="left" vertical="top" wrapText="1"/>
    </xf>
    <xf numFmtId="0" fontId="21" fillId="2" borderId="0" xfId="0" applyFont="1" applyFill="1" applyAlignment="1">
      <alignment horizontal="right" vertical="center"/>
    </xf>
    <xf numFmtId="2" fontId="22" fillId="2" borderId="0" xfId="0" applyNumberFormat="1" applyFont="1" applyFill="1" applyAlignment="1">
      <alignment horizontal="center" vertical="center"/>
    </xf>
    <xf numFmtId="0" fontId="54" fillId="2" borderId="0" xfId="0" applyFont="1" applyFill="1" applyAlignment="1">
      <alignment vertical="center"/>
    </xf>
    <xf numFmtId="0" fontId="4" fillId="3" borderId="0" xfId="0" applyFont="1" applyFill="1" applyAlignment="1">
      <alignment horizontal="left" vertical="center"/>
    </xf>
    <xf numFmtId="0" fontId="5" fillId="2" borderId="0" xfId="0" applyFont="1" applyFill="1" applyAlignment="1">
      <alignment horizontal="left" vertical="center"/>
    </xf>
    <xf numFmtId="0" fontId="21" fillId="2" borderId="0" xfId="0" applyFont="1" applyFill="1" applyAlignment="1">
      <alignment vertical="center"/>
    </xf>
    <xf numFmtId="0" fontId="11" fillId="3" borderId="0" xfId="0" applyFont="1" applyFill="1" applyAlignment="1">
      <alignment vertical="center" wrapText="1"/>
    </xf>
    <xf numFmtId="0" fontId="21" fillId="3" borderId="0" xfId="0" applyFont="1" applyFill="1" applyAlignment="1">
      <alignment vertical="center"/>
    </xf>
    <xf numFmtId="0" fontId="55" fillId="2" borderId="0" xfId="0" applyFont="1" applyFill="1" applyAlignment="1">
      <alignment vertical="top"/>
    </xf>
    <xf numFmtId="0" fontId="2" fillId="2" borderId="0" xfId="0" applyFont="1" applyFill="1" applyAlignment="1">
      <alignment vertical="center"/>
    </xf>
    <xf numFmtId="2" fontId="57" fillId="2" borderId="0" xfId="0" applyNumberFormat="1" applyFont="1" applyFill="1" applyAlignment="1">
      <alignment horizontal="center" vertical="center"/>
    </xf>
    <xf numFmtId="0" fontId="4" fillId="0" borderId="1" xfId="0" applyFont="1" applyBorder="1" applyAlignment="1">
      <alignment horizontal="left" vertical="center"/>
    </xf>
    <xf numFmtId="0" fontId="55" fillId="2" borderId="0" xfId="0" applyFont="1" applyFill="1" applyAlignment="1">
      <alignment horizontal="left" vertical="center"/>
    </xf>
    <xf numFmtId="0" fontId="58" fillId="2" borderId="0" xfId="0" applyFont="1" applyFill="1" applyAlignment="1">
      <alignment horizontal="left" vertical="top"/>
    </xf>
    <xf numFmtId="0" fontId="59" fillId="2" borderId="0" xfId="0" applyFont="1" applyFill="1" applyAlignment="1">
      <alignment vertical="center"/>
    </xf>
    <xf numFmtId="0" fontId="5" fillId="2" borderId="1" xfId="0" applyFont="1" applyFill="1" applyBorder="1" applyAlignment="1">
      <alignment horizontal="left" vertical="center"/>
    </xf>
    <xf numFmtId="0" fontId="35" fillId="2" borderId="0" xfId="0" applyFont="1" applyFill="1" applyAlignment="1">
      <alignment horizontal="right" vertical="center"/>
    </xf>
    <xf numFmtId="0" fontId="5" fillId="2" borderId="0" xfId="0" applyFont="1" applyFill="1" applyAlignment="1">
      <alignment vertical="center"/>
    </xf>
    <xf numFmtId="0" fontId="9" fillId="3" borderId="0" xfId="0" applyFont="1" applyFill="1" applyAlignment="1">
      <alignment horizontal="left" vertical="center"/>
    </xf>
    <xf numFmtId="0" fontId="50" fillId="0" borderId="0" xfId="0" applyFont="1" applyAlignment="1">
      <alignment horizontal="left" vertical="top"/>
    </xf>
    <xf numFmtId="0" fontId="60" fillId="2" borderId="0" xfId="0" applyFont="1" applyFill="1"/>
    <xf numFmtId="0" fontId="10" fillId="3" borderId="0" xfId="0" applyFont="1" applyFill="1" applyAlignment="1">
      <alignment vertical="center" wrapText="1"/>
    </xf>
    <xf numFmtId="0" fontId="4" fillId="3" borderId="0" xfId="0" applyFont="1" applyFill="1" applyAlignment="1">
      <alignment vertical="center"/>
    </xf>
    <xf numFmtId="2" fontId="22" fillId="2" borderId="0" xfId="0" applyNumberFormat="1"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xf>
    <xf numFmtId="0" fontId="8" fillId="2" borderId="0" xfId="0" quotePrefix="1" applyFont="1" applyFill="1" applyAlignment="1">
      <alignment vertical="center"/>
    </xf>
    <xf numFmtId="0" fontId="42" fillId="2" borderId="0" xfId="0" applyFont="1" applyFill="1" applyAlignment="1">
      <alignment horizontal="left" vertical="center"/>
    </xf>
    <xf numFmtId="0" fontId="8" fillId="2" borderId="0" xfId="0" quotePrefix="1" applyFont="1" applyFill="1" applyAlignment="1">
      <alignment vertical="center" wrapText="1"/>
    </xf>
    <xf numFmtId="0" fontId="4" fillId="2" borderId="43"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vertical="top"/>
    </xf>
    <xf numFmtId="0" fontId="19" fillId="2" borderId="0" xfId="0" applyFont="1" applyFill="1" applyAlignment="1">
      <alignment horizontal="right" vertical="center"/>
    </xf>
    <xf numFmtId="0" fontId="37" fillId="2" borderId="8" xfId="0" applyFont="1" applyFill="1" applyBorder="1" applyAlignment="1">
      <alignment vertical="center"/>
    </xf>
    <xf numFmtId="0" fontId="37" fillId="2" borderId="0" xfId="0" applyFont="1" applyFill="1" applyAlignment="1">
      <alignment vertical="center"/>
    </xf>
    <xf numFmtId="0" fontId="25" fillId="2" borderId="0" xfId="0" applyFont="1" applyFill="1" applyAlignment="1">
      <alignment vertical="center" wrapText="1"/>
    </xf>
    <xf numFmtId="3" fontId="19" fillId="2" borderId="0" xfId="0" applyNumberFormat="1" applyFont="1" applyFill="1" applyAlignment="1">
      <alignment horizontal="center" vertical="center" wrapText="1"/>
    </xf>
    <xf numFmtId="0" fontId="47" fillId="3" borderId="0" xfId="0" applyFont="1" applyFill="1" applyAlignment="1">
      <alignment horizontal="left" vertical="center"/>
    </xf>
    <xf numFmtId="0" fontId="66" fillId="2" borderId="0" xfId="0" applyFont="1" applyFill="1" applyAlignment="1">
      <alignment horizontal="left" vertical="top"/>
    </xf>
    <xf numFmtId="0" fontId="67" fillId="2" borderId="0" xfId="0" applyFont="1" applyFill="1" applyAlignment="1">
      <alignment horizontal="left" vertical="center"/>
    </xf>
    <xf numFmtId="0" fontId="68" fillId="2" borderId="0" xfId="0" applyFont="1" applyFill="1" applyAlignment="1">
      <alignment horizontal="left" vertical="center"/>
    </xf>
    <xf numFmtId="0" fontId="68" fillId="2" borderId="0" xfId="0" applyFont="1" applyFill="1" applyAlignment="1">
      <alignment horizontal="left" vertical="top"/>
    </xf>
    <xf numFmtId="0" fontId="68" fillId="2" borderId="0" xfId="0" applyFont="1" applyFill="1" applyAlignment="1">
      <alignment vertical="center" wrapText="1"/>
    </xf>
    <xf numFmtId="0" fontId="69" fillId="2" borderId="0" xfId="0" applyFont="1" applyFill="1" applyAlignment="1">
      <alignment vertical="center" wrapText="1"/>
    </xf>
    <xf numFmtId="1" fontId="35" fillId="2" borderId="0" xfId="0" applyNumberFormat="1" applyFont="1" applyFill="1" applyAlignment="1">
      <alignment horizontal="right" vertical="center" wrapText="1"/>
    </xf>
    <xf numFmtId="0" fontId="36" fillId="2" borderId="0" xfId="0" applyFont="1" applyFill="1" applyAlignment="1">
      <alignment horizontal="center" vertical="center"/>
    </xf>
    <xf numFmtId="0" fontId="29" fillId="2" borderId="0" xfId="0" applyFont="1" applyFill="1" applyAlignment="1">
      <alignment horizontal="left" vertical="center"/>
    </xf>
    <xf numFmtId="0" fontId="64" fillId="2" borderId="0" xfId="0" applyFont="1" applyFill="1" applyAlignment="1">
      <alignment horizontal="right" vertical="center"/>
    </xf>
    <xf numFmtId="0" fontId="56" fillId="4" borderId="0" xfId="0" applyFont="1" applyFill="1" applyAlignment="1">
      <alignment horizontal="left" vertical="center"/>
    </xf>
    <xf numFmtId="0" fontId="42" fillId="2" borderId="0" xfId="0" applyFont="1" applyFill="1" applyAlignment="1">
      <alignment horizontal="right" vertical="center"/>
    </xf>
    <xf numFmtId="0" fontId="9" fillId="2" borderId="0" xfId="0" applyFont="1" applyFill="1" applyAlignment="1">
      <alignment vertical="center" wrapText="1"/>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17" fillId="2" borderId="1" xfId="0" applyFont="1" applyFill="1" applyBorder="1" applyAlignment="1">
      <alignment vertical="top"/>
    </xf>
    <xf numFmtId="0" fontId="9" fillId="2" borderId="1" xfId="0" applyFont="1" applyFill="1" applyBorder="1" applyAlignment="1">
      <alignment vertical="top"/>
    </xf>
    <xf numFmtId="0" fontId="35" fillId="2" borderId="0" xfId="0" applyFont="1" applyFill="1" applyAlignment="1">
      <alignment vertical="center"/>
    </xf>
    <xf numFmtId="0" fontId="17"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7" fillId="2" borderId="0" xfId="0" quotePrefix="1" applyFont="1" applyFill="1" applyAlignment="1">
      <alignment vertical="center"/>
    </xf>
    <xf numFmtId="0" fontId="7" fillId="2" borderId="0" xfId="0" quotePrefix="1" applyFont="1" applyFill="1" applyAlignment="1">
      <alignment vertical="center" wrapText="1"/>
    </xf>
    <xf numFmtId="0" fontId="7" fillId="2" borderId="0" xfId="0" quotePrefix="1" applyFont="1" applyFill="1" applyAlignment="1">
      <alignment horizontal="left" vertical="center"/>
    </xf>
    <xf numFmtId="0" fontId="17" fillId="2" borderId="1" xfId="0" applyFont="1" applyFill="1" applyBorder="1" applyAlignment="1">
      <alignment horizontal="left" vertical="center"/>
    </xf>
    <xf numFmtId="0" fontId="9" fillId="2" borderId="1" xfId="0" applyFont="1" applyFill="1" applyBorder="1" applyAlignment="1">
      <alignment horizontal="left" vertical="center"/>
    </xf>
    <xf numFmtId="0" fontId="73" fillId="2" borderId="0" xfId="0" applyFont="1" applyFill="1" applyAlignment="1">
      <alignment horizontal="left" vertical="center"/>
    </xf>
    <xf numFmtId="0" fontId="74" fillId="2" borderId="0" xfId="0" applyFont="1" applyFill="1" applyAlignment="1">
      <alignment vertical="top"/>
    </xf>
    <xf numFmtId="0" fontId="74" fillId="2" borderId="0" xfId="0" applyFont="1" applyFill="1" applyAlignment="1">
      <alignment vertical="center"/>
    </xf>
    <xf numFmtId="0" fontId="53" fillId="3" borderId="0" xfId="0" applyFont="1" applyFill="1" applyAlignment="1">
      <alignment horizontal="left" vertical="center"/>
    </xf>
    <xf numFmtId="0" fontId="40" fillId="2" borderId="0" xfId="0" applyFont="1" applyFill="1" applyAlignment="1">
      <alignment horizontal="left" vertical="center"/>
    </xf>
    <xf numFmtId="3" fontId="58" fillId="2" borderId="0" xfId="0" applyNumberFormat="1" applyFont="1" applyFill="1" applyAlignment="1">
      <alignment horizontal="center" vertical="center" wrapText="1"/>
    </xf>
    <xf numFmtId="43" fontId="4" fillId="2" borderId="0" xfId="2" applyFont="1" applyFill="1" applyBorder="1" applyAlignment="1" applyProtection="1">
      <alignment horizontal="center" vertical="center" wrapText="1"/>
    </xf>
    <xf numFmtId="0" fontId="17" fillId="2" borderId="0" xfId="0" applyFont="1" applyFill="1" applyAlignment="1">
      <alignment vertical="center"/>
    </xf>
    <xf numFmtId="0" fontId="58" fillId="2" borderId="0" xfId="0" applyFont="1" applyFill="1" applyAlignment="1">
      <alignment vertical="center"/>
    </xf>
    <xf numFmtId="0" fontId="56" fillId="2" borderId="8" xfId="0" applyFont="1" applyFill="1" applyBorder="1" applyAlignment="1">
      <alignment vertical="center"/>
    </xf>
    <xf numFmtId="0" fontId="17" fillId="2" borderId="0" xfId="0" applyFont="1" applyFill="1" applyAlignment="1">
      <alignment horizontal="left"/>
    </xf>
    <xf numFmtId="0" fontId="26" fillId="2" borderId="0" xfId="0" applyFont="1" applyFill="1" applyAlignment="1">
      <alignment horizontal="right" vertical="center"/>
    </xf>
    <xf numFmtId="0" fontId="4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3" fontId="47" fillId="0" borderId="0" xfId="0" applyNumberFormat="1" applyFont="1" applyAlignment="1" applyProtection="1">
      <alignment horizontal="left" vertical="center"/>
      <protection locked="0"/>
    </xf>
    <xf numFmtId="0" fontId="47"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3" fontId="47" fillId="0" borderId="0" xfId="0" applyNumberFormat="1" applyFont="1" applyAlignment="1" applyProtection="1">
      <alignment horizontal="right" vertical="center"/>
      <protection locked="0"/>
    </xf>
    <xf numFmtId="0" fontId="70"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Alignment="1">
      <alignment horizontal="left" vertical="center"/>
    </xf>
    <xf numFmtId="0" fontId="48" fillId="0" borderId="0" xfId="0" applyFont="1" applyAlignment="1" applyProtection="1">
      <alignment vertical="center" wrapText="1"/>
      <protection locked="0"/>
    </xf>
    <xf numFmtId="1" fontId="47" fillId="0" borderId="0" xfId="0" applyNumberFormat="1" applyFont="1" applyAlignment="1" applyProtection="1">
      <alignment vertical="center"/>
      <protection locked="0"/>
    </xf>
    <xf numFmtId="0" fontId="47"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65" fillId="0" borderId="0" xfId="0" applyFont="1" applyAlignment="1" applyProtection="1">
      <alignment vertical="center"/>
      <protection locked="0"/>
    </xf>
    <xf numFmtId="0" fontId="65" fillId="0" borderId="0" xfId="0" applyFont="1" applyAlignment="1" applyProtection="1">
      <alignment horizontal="left" vertical="center"/>
      <protection locked="0"/>
    </xf>
    <xf numFmtId="164" fontId="65" fillId="0" borderId="0" xfId="2" applyNumberFormat="1" applyFont="1" applyFill="1" applyBorder="1" applyAlignment="1" applyProtection="1">
      <alignment horizontal="left" vertical="center"/>
      <protection locked="0"/>
    </xf>
    <xf numFmtId="164" fontId="47" fillId="0" borderId="0" xfId="0" applyNumberFormat="1" applyFont="1" applyAlignment="1" applyProtection="1">
      <alignment horizontal="left" vertical="center"/>
      <protection locked="0"/>
    </xf>
    <xf numFmtId="0" fontId="47" fillId="0" borderId="0" xfId="0" applyFont="1" applyAlignment="1" applyProtection="1">
      <alignment horizontal="center" vertical="center"/>
      <protection locked="0"/>
    </xf>
    <xf numFmtId="3" fontId="53" fillId="0" borderId="0" xfId="0" applyNumberFormat="1" applyFont="1" applyAlignment="1" applyProtection="1">
      <alignment vertical="center"/>
      <protection locked="0"/>
    </xf>
    <xf numFmtId="1" fontId="47" fillId="0" borderId="0" xfId="0" applyNumberFormat="1" applyFont="1" applyAlignment="1" applyProtection="1">
      <alignment horizontal="right" vertical="center"/>
      <protection locked="0"/>
    </xf>
    <xf numFmtId="0" fontId="47" fillId="2" borderId="0" xfId="0" applyFont="1" applyFill="1" applyAlignment="1" applyProtection="1">
      <alignment horizontal="left" vertical="center"/>
      <protection locked="0"/>
    </xf>
    <xf numFmtId="1" fontId="47" fillId="0" borderId="0" xfId="0" applyNumberFormat="1" applyFont="1" applyAlignment="1" applyProtection="1">
      <alignment horizontal="left" vertical="center"/>
      <protection locked="0"/>
    </xf>
    <xf numFmtId="0" fontId="5" fillId="2" borderId="0" xfId="0" applyFont="1" applyFill="1" applyAlignment="1">
      <alignment vertical="center" wrapText="1"/>
    </xf>
    <xf numFmtId="0" fontId="31" fillId="2" borderId="54" xfId="0" applyFont="1" applyFill="1" applyBorder="1" applyAlignment="1">
      <alignment horizontal="left" vertical="center"/>
    </xf>
    <xf numFmtId="3" fontId="56" fillId="2" borderId="0" xfId="0" applyNumberFormat="1" applyFont="1" applyFill="1" applyAlignment="1" applyProtection="1">
      <alignment horizontal="center" vertical="center" wrapText="1"/>
      <protection locked="0"/>
    </xf>
    <xf numFmtId="0" fontId="56" fillId="2" borderId="0" xfId="0" applyFont="1" applyFill="1" applyAlignment="1">
      <alignment horizontal="center" vertical="center" wrapText="1"/>
    </xf>
    <xf numFmtId="0" fontId="78" fillId="2" borderId="0" xfId="0" applyFont="1" applyFill="1" applyAlignment="1">
      <alignment horizontal="right" vertical="center"/>
    </xf>
    <xf numFmtId="0" fontId="4" fillId="2" borderId="55" xfId="0" applyFont="1" applyFill="1" applyBorder="1" applyAlignment="1">
      <alignment horizontal="left" vertical="center"/>
    </xf>
    <xf numFmtId="0" fontId="9" fillId="2" borderId="56" xfId="0" applyFont="1" applyFill="1" applyBorder="1" applyAlignment="1">
      <alignment vertical="top"/>
    </xf>
    <xf numFmtId="0" fontId="5" fillId="2" borderId="57" xfId="0" applyFont="1" applyFill="1" applyBorder="1" applyAlignment="1">
      <alignment horizontal="left" vertical="center"/>
    </xf>
    <xf numFmtId="0" fontId="21" fillId="2" borderId="0" xfId="0" applyFont="1" applyFill="1" applyAlignment="1">
      <alignment horizontal="left" vertical="center"/>
    </xf>
    <xf numFmtId="0" fontId="7" fillId="2" borderId="0" xfId="0" applyFont="1" applyFill="1" applyAlignment="1">
      <alignment horizontal="left" vertical="center"/>
    </xf>
    <xf numFmtId="0" fontId="35" fillId="2" borderId="0" xfId="0" applyFont="1" applyFill="1" applyAlignment="1">
      <alignment horizontal="left" vertical="center"/>
    </xf>
    <xf numFmtId="0" fontId="79" fillId="2" borderId="0" xfId="0" applyFont="1" applyFill="1" applyAlignment="1">
      <alignment horizontal="left" vertical="center"/>
    </xf>
    <xf numFmtId="0" fontId="4" fillId="2" borderId="58" xfId="0" applyFont="1" applyFill="1" applyBorder="1" applyAlignment="1">
      <alignment horizontal="left" vertical="center"/>
    </xf>
    <xf numFmtId="0" fontId="9" fillId="2" borderId="59" xfId="0" applyFont="1" applyFill="1" applyBorder="1" applyAlignment="1">
      <alignment vertical="top"/>
    </xf>
    <xf numFmtId="0" fontId="5" fillId="2" borderId="59" xfId="0" applyFont="1" applyFill="1" applyBorder="1" applyAlignment="1">
      <alignment horizontal="left" vertical="center"/>
    </xf>
    <xf numFmtId="0" fontId="52" fillId="2" borderId="0" xfId="0" applyFont="1" applyFill="1" applyAlignment="1">
      <alignment vertical="center" wrapText="1"/>
    </xf>
    <xf numFmtId="0" fontId="78" fillId="2" borderId="0" xfId="0" applyFont="1" applyFill="1" applyAlignment="1">
      <alignment horizontal="left" vertical="center"/>
    </xf>
    <xf numFmtId="0" fontId="41" fillId="2" borderId="0" xfId="0" applyFont="1" applyFill="1" applyAlignment="1">
      <alignment horizontal="left" vertical="center"/>
    </xf>
    <xf numFmtId="0" fontId="43" fillId="2" borderId="0" xfId="0" applyFont="1" applyFill="1" applyAlignment="1">
      <alignment horizontal="left" vertical="center"/>
    </xf>
    <xf numFmtId="0" fontId="4" fillId="2" borderId="57" xfId="0" applyFont="1" applyFill="1" applyBorder="1" applyAlignment="1">
      <alignment horizontal="left" vertical="center"/>
    </xf>
    <xf numFmtId="0" fontId="4" fillId="2" borderId="56" xfId="0" applyFont="1" applyFill="1" applyBorder="1" applyAlignment="1">
      <alignment horizontal="left" vertical="center"/>
    </xf>
    <xf numFmtId="0" fontId="48" fillId="2" borderId="56" xfId="0" applyFont="1" applyFill="1" applyBorder="1" applyAlignment="1">
      <alignment vertical="center" wrapText="1"/>
    </xf>
    <xf numFmtId="0" fontId="48" fillId="2" borderId="57" xfId="0" applyFont="1" applyFill="1" applyBorder="1" applyAlignment="1">
      <alignment vertical="center" wrapText="1"/>
    </xf>
    <xf numFmtId="0" fontId="26" fillId="2" borderId="0" xfId="0" applyFont="1" applyFill="1" applyAlignment="1">
      <alignment horizontal="left" vertical="center"/>
    </xf>
    <xf numFmtId="0" fontId="4"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center" vertical="center"/>
    </xf>
    <xf numFmtId="0" fontId="42" fillId="2" borderId="33" xfId="0" applyFont="1" applyFill="1" applyBorder="1" applyAlignment="1">
      <alignment vertical="center"/>
    </xf>
    <xf numFmtId="0" fontId="78" fillId="2" borderId="33" xfId="0" applyFont="1" applyFill="1" applyBorder="1" applyAlignment="1">
      <alignment vertical="center"/>
    </xf>
    <xf numFmtId="0" fontId="80" fillId="2" borderId="0" xfId="0" applyFont="1" applyFill="1" applyAlignment="1">
      <alignment horizontal="left" vertical="center"/>
    </xf>
    <xf numFmtId="0" fontId="81" fillId="2" borderId="0" xfId="0" applyFont="1" applyFill="1" applyAlignment="1">
      <alignment vertical="center" wrapText="1"/>
    </xf>
    <xf numFmtId="0" fontId="26" fillId="0" borderId="0" xfId="0" applyFont="1" applyAlignment="1">
      <alignment horizontal="left" vertical="center"/>
    </xf>
    <xf numFmtId="3" fontId="58" fillId="2" borderId="0" xfId="0" applyNumberFormat="1" applyFont="1" applyFill="1" applyAlignment="1">
      <alignment vertical="center" wrapText="1"/>
    </xf>
    <xf numFmtId="3" fontId="58" fillId="2" borderId="0" xfId="0" applyNumberFormat="1" applyFont="1" applyFill="1" applyAlignment="1">
      <alignment vertical="center"/>
    </xf>
    <xf numFmtId="0" fontId="85" fillId="0" borderId="0" xfId="0" applyFont="1" applyAlignment="1" applyProtection="1">
      <alignment horizontal="left" vertical="center"/>
      <protection locked="0"/>
    </xf>
    <xf numFmtId="0" fontId="85" fillId="0" borderId="0" xfId="0" applyFont="1" applyAlignment="1">
      <alignment horizontal="left" vertical="center"/>
    </xf>
    <xf numFmtId="3" fontId="85" fillId="0" borderId="0" xfId="0" applyNumberFormat="1" applyFont="1" applyAlignment="1" applyProtection="1">
      <alignment horizontal="left" vertical="center"/>
      <protection locked="0"/>
    </xf>
    <xf numFmtId="1" fontId="85" fillId="0" borderId="0" xfId="0" applyNumberFormat="1" applyFont="1" applyAlignment="1" applyProtection="1">
      <alignment horizontal="left" vertical="center"/>
      <protection locked="0"/>
    </xf>
    <xf numFmtId="0" fontId="85" fillId="0" borderId="0" xfId="0" applyFont="1" applyAlignment="1" applyProtection="1">
      <alignment horizontal="right" vertical="center"/>
      <protection locked="0"/>
    </xf>
    <xf numFmtId="3" fontId="85" fillId="0" borderId="0" xfId="0" applyNumberFormat="1" applyFont="1" applyAlignment="1" applyProtection="1">
      <alignment horizontal="right" vertical="center"/>
      <protection locked="0"/>
    </xf>
    <xf numFmtId="0" fontId="86" fillId="0" borderId="0" xfId="0" applyFont="1" applyAlignment="1" applyProtection="1">
      <alignment horizontal="left" vertical="center"/>
      <protection locked="0"/>
    </xf>
    <xf numFmtId="0" fontId="86" fillId="0" borderId="0" xfId="0" applyFont="1" applyAlignment="1">
      <alignment horizontal="left" vertical="center"/>
    </xf>
    <xf numFmtId="0" fontId="87" fillId="0" borderId="0" xfId="0" applyFont="1" applyAlignment="1" applyProtection="1">
      <alignment vertical="center" wrapText="1"/>
      <protection locked="0"/>
    </xf>
    <xf numFmtId="0" fontId="85" fillId="0" borderId="0" xfId="2" applyNumberFormat="1" applyFont="1" applyFill="1" applyBorder="1" applyAlignment="1" applyProtection="1">
      <alignment horizontal="right" vertical="center"/>
      <protection locked="0"/>
    </xf>
    <xf numFmtId="1" fontId="85" fillId="0" borderId="0" xfId="0" applyNumberFormat="1" applyFont="1" applyAlignment="1" applyProtection="1">
      <alignment vertical="center"/>
      <protection locked="0"/>
    </xf>
    <xf numFmtId="0" fontId="85" fillId="0" borderId="0" xfId="0" applyFont="1" applyAlignment="1" applyProtection="1">
      <alignment vertical="center"/>
      <protection locked="0"/>
    </xf>
    <xf numFmtId="0" fontId="88" fillId="0" borderId="0" xfId="0" applyFont="1" applyAlignment="1" applyProtection="1">
      <alignment vertical="center"/>
      <protection locked="0"/>
    </xf>
    <xf numFmtId="0" fontId="88" fillId="0" borderId="0" xfId="0" applyFont="1" applyAlignment="1" applyProtection="1">
      <alignment horizontal="left" vertical="center"/>
      <protection locked="0"/>
    </xf>
    <xf numFmtId="3" fontId="85" fillId="0" borderId="0" xfId="0" applyNumberFormat="1" applyFont="1" applyAlignment="1" applyProtection="1">
      <alignment vertical="center"/>
      <protection locked="0"/>
    </xf>
    <xf numFmtId="1" fontId="85" fillId="0" borderId="0" xfId="0" applyNumberFormat="1" applyFont="1" applyAlignment="1" applyProtection="1">
      <alignment horizontal="right" vertical="center"/>
      <protection locked="0"/>
    </xf>
    <xf numFmtId="0" fontId="5" fillId="2" borderId="54"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2" fillId="2" borderId="0" xfId="0" applyFont="1" applyFill="1" applyAlignment="1">
      <alignment vertical="top"/>
    </xf>
    <xf numFmtId="0" fontId="2" fillId="2" borderId="56" xfId="0" applyFont="1" applyFill="1" applyBorder="1" applyAlignment="1">
      <alignment vertical="top"/>
    </xf>
    <xf numFmtId="0" fontId="2" fillId="2" borderId="59" xfId="0" applyFont="1" applyFill="1" applyBorder="1" applyAlignment="1">
      <alignment vertical="top"/>
    </xf>
    <xf numFmtId="0" fontId="5" fillId="0" borderId="0" xfId="0" applyFont="1" applyAlignment="1">
      <alignment horizontal="left" vertical="center"/>
    </xf>
    <xf numFmtId="0" fontId="90" fillId="2" borderId="0" xfId="0" applyFont="1" applyFill="1" applyAlignment="1">
      <alignment horizontal="right" vertical="center"/>
    </xf>
    <xf numFmtId="0" fontId="58" fillId="2" borderId="1" xfId="0" applyFont="1" applyFill="1" applyBorder="1" applyAlignment="1">
      <alignment horizontal="left" vertical="center"/>
    </xf>
    <xf numFmtId="0" fontId="57" fillId="2" borderId="0" xfId="0" applyFont="1" applyFill="1" applyAlignment="1">
      <alignment horizontal="left" vertical="center"/>
    </xf>
    <xf numFmtId="0" fontId="91" fillId="2" borderId="0" xfId="0" applyFont="1" applyFill="1" applyAlignment="1">
      <alignment horizontal="left" vertical="center"/>
    </xf>
    <xf numFmtId="0" fontId="90" fillId="2" borderId="0" xfId="0" applyFont="1" applyFill="1" applyAlignment="1">
      <alignment horizontal="center" vertical="center"/>
    </xf>
    <xf numFmtId="0" fontId="2" fillId="3" borderId="0" xfId="0" applyFont="1" applyFill="1" applyAlignment="1">
      <alignment horizontal="left" vertical="center"/>
    </xf>
    <xf numFmtId="0" fontId="58" fillId="2" borderId="0" xfId="0" applyFont="1" applyFill="1" applyAlignment="1">
      <alignment horizontal="left" vertical="center"/>
    </xf>
    <xf numFmtId="0" fontId="92" fillId="2" borderId="0" xfId="0" applyFont="1" applyFill="1" applyAlignment="1">
      <alignment vertical="center" wrapText="1"/>
    </xf>
    <xf numFmtId="0" fontId="91" fillId="2" borderId="0" xfId="0" applyFont="1" applyFill="1" applyAlignment="1">
      <alignment vertical="center" wrapText="1"/>
    </xf>
    <xf numFmtId="0" fontId="2" fillId="2" borderId="0" xfId="0" applyFont="1" applyFill="1" applyAlignment="1">
      <alignment horizontal="left" vertical="center"/>
    </xf>
    <xf numFmtId="0" fontId="91" fillId="2" borderId="0" xfId="0" applyFont="1" applyFill="1" applyAlignment="1">
      <alignment horizontal="center" vertical="center"/>
    </xf>
    <xf numFmtId="0" fontId="93" fillId="2" borderId="0" xfId="0" applyFont="1" applyFill="1" applyAlignment="1">
      <alignment horizontal="right" vertical="center"/>
    </xf>
    <xf numFmtId="0" fontId="59" fillId="2" borderId="0" xfId="0" applyFont="1" applyFill="1" applyAlignment="1">
      <alignment horizontal="left" vertical="center"/>
    </xf>
    <xf numFmtId="0" fontId="58" fillId="2" borderId="0" xfId="0" applyFont="1" applyFill="1" applyAlignment="1">
      <alignment horizontal="left"/>
    </xf>
    <xf numFmtId="0" fontId="5" fillId="2" borderId="0" xfId="0" applyFont="1" applyFill="1" applyAlignment="1">
      <alignment horizontal="right" vertical="center"/>
    </xf>
    <xf numFmtId="0" fontId="94" fillId="2" borderId="0" xfId="0" applyFont="1" applyFill="1" applyAlignment="1">
      <alignment horizontal="left" vertical="top"/>
    </xf>
    <xf numFmtId="0" fontId="94" fillId="2" borderId="0" xfId="0" applyFont="1" applyFill="1" applyAlignment="1">
      <alignment horizontal="left" vertical="center"/>
    </xf>
    <xf numFmtId="0" fontId="95" fillId="2" borderId="0" xfId="0" applyFont="1" applyFill="1" applyAlignment="1">
      <alignment horizontal="left" vertical="center"/>
    </xf>
    <xf numFmtId="0" fontId="59" fillId="2" borderId="0" xfId="0" applyFont="1" applyFill="1" applyAlignment="1">
      <alignment vertical="center" wrapText="1"/>
    </xf>
    <xf numFmtId="0" fontId="5" fillId="2" borderId="33" xfId="0" applyFont="1" applyFill="1" applyBorder="1" applyAlignment="1">
      <alignment horizontal="left" vertical="center"/>
    </xf>
    <xf numFmtId="0" fontId="8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3" fontId="4" fillId="2" borderId="0" xfId="0" applyNumberFormat="1" applyFont="1" applyFill="1" applyAlignment="1">
      <alignment horizontal="center" vertical="center"/>
    </xf>
    <xf numFmtId="0" fontId="97" fillId="2" borderId="0" xfId="0" applyFont="1" applyFill="1" applyAlignment="1">
      <alignment vertical="center"/>
    </xf>
    <xf numFmtId="0" fontId="54" fillId="2" borderId="0" xfId="0" applyFont="1" applyFill="1" applyAlignment="1">
      <alignment horizontal="left" vertical="center"/>
    </xf>
    <xf numFmtId="0" fontId="85" fillId="0" borderId="0" xfId="0" applyFont="1" applyAlignment="1">
      <alignment horizontal="right" vertical="center"/>
    </xf>
    <xf numFmtId="0" fontId="18" fillId="0" borderId="0" xfId="0" applyFont="1" applyAlignment="1">
      <alignment vertical="top" wrapText="1"/>
    </xf>
    <xf numFmtId="0" fontId="9" fillId="0" borderId="0" xfId="0" applyFont="1" applyAlignment="1">
      <alignment vertical="center"/>
    </xf>
    <xf numFmtId="166" fontId="85" fillId="0" borderId="0" xfId="0" applyNumberFormat="1" applyFont="1" applyAlignment="1" applyProtection="1">
      <alignment horizontal="left" vertical="center"/>
      <protection locked="0"/>
    </xf>
    <xf numFmtId="43" fontId="85" fillId="0" borderId="0" xfId="2" applyFont="1" applyFill="1" applyBorder="1" applyAlignment="1" applyProtection="1">
      <alignment horizontal="right" vertical="center"/>
      <protection locked="0"/>
    </xf>
    <xf numFmtId="43" fontId="85" fillId="0" borderId="0" xfId="2" applyFont="1" applyFill="1" applyBorder="1" applyAlignment="1" applyProtection="1">
      <alignment horizontal="left" vertical="center"/>
      <protection locked="0"/>
    </xf>
    <xf numFmtId="0" fontId="56" fillId="2" borderId="0" xfId="0" applyFont="1" applyFill="1" applyAlignment="1">
      <alignment vertical="center"/>
    </xf>
    <xf numFmtId="0" fontId="85" fillId="0" borderId="0" xfId="0" quotePrefix="1" applyFont="1" applyAlignment="1" applyProtection="1">
      <alignment horizontal="left" vertical="center"/>
      <protection locked="0"/>
    </xf>
    <xf numFmtId="0" fontId="78" fillId="2" borderId="1" xfId="0" applyFont="1" applyFill="1" applyBorder="1" applyAlignment="1">
      <alignment horizontal="left" vertical="center"/>
    </xf>
    <xf numFmtId="0" fontId="88" fillId="0" borderId="0" xfId="0" applyFont="1" applyAlignment="1">
      <alignment horizontal="left" vertical="center"/>
    </xf>
    <xf numFmtId="164" fontId="88" fillId="0" borderId="0" xfId="0" applyNumberFormat="1" applyFont="1" applyAlignment="1" applyProtection="1">
      <alignment horizontal="left" vertical="center"/>
      <protection locked="0"/>
    </xf>
    <xf numFmtId="0" fontId="6" fillId="2" borderId="0" xfId="0" applyFont="1" applyFill="1" applyAlignment="1">
      <alignment horizontal="right" vertical="center"/>
    </xf>
    <xf numFmtId="0" fontId="98" fillId="0" borderId="0" xfId="0" applyFont="1" applyAlignment="1">
      <alignment horizontal="left" vertical="center"/>
    </xf>
    <xf numFmtId="0" fontId="6" fillId="2" borderId="0" xfId="0" applyFont="1" applyFill="1" applyAlignment="1">
      <alignment horizontal="left" vertical="center"/>
    </xf>
    <xf numFmtId="0" fontId="98" fillId="2" borderId="0" xfId="0" applyFont="1" applyFill="1" applyAlignment="1">
      <alignment horizontal="left" vertical="center"/>
    </xf>
    <xf numFmtId="0" fontId="78" fillId="2" borderId="0" xfId="0" applyFont="1" applyFill="1" applyAlignment="1">
      <alignment vertical="top" wrapText="1"/>
    </xf>
    <xf numFmtId="0" fontId="85" fillId="0" borderId="0" xfId="0" applyFont="1" applyAlignment="1" applyProtection="1">
      <alignment horizontal="center" vertical="center"/>
      <protection locked="0"/>
    </xf>
    <xf numFmtId="1" fontId="68" fillId="2" borderId="0" xfId="0" applyNumberFormat="1" applyFont="1" applyFill="1" applyAlignment="1">
      <alignment horizontal="right" vertical="top" wrapText="1"/>
    </xf>
    <xf numFmtId="0" fontId="85" fillId="0" borderId="69" xfId="0" applyFont="1" applyBorder="1" applyAlignment="1" applyProtection="1">
      <alignment horizontal="left" vertical="center"/>
      <protection locked="0"/>
    </xf>
    <xf numFmtId="0" fontId="85" fillId="0" borderId="70" xfId="0" applyFont="1" applyBorder="1" applyAlignment="1" applyProtection="1">
      <alignment horizontal="left" vertical="center"/>
      <protection locked="0"/>
    </xf>
    <xf numFmtId="0" fontId="85" fillId="0" borderId="71" xfId="0" applyFont="1" applyBorder="1" applyAlignment="1" applyProtection="1">
      <alignment horizontal="left" vertical="center"/>
      <protection locked="0"/>
    </xf>
    <xf numFmtId="0" fontId="85" fillId="0" borderId="72" xfId="0" applyFont="1" applyBorder="1" applyAlignment="1" applyProtection="1">
      <alignment horizontal="left" vertical="center"/>
      <protection locked="0"/>
    </xf>
    <xf numFmtId="0" fontId="85" fillId="0" borderId="73" xfId="0" applyFont="1" applyBorder="1" applyAlignment="1" applyProtection="1">
      <alignment horizontal="left" vertical="center"/>
      <protection locked="0"/>
    </xf>
    <xf numFmtId="0" fontId="88" fillId="0" borderId="0" xfId="0" applyFont="1" applyAlignment="1">
      <alignment horizontal="right" vertical="center"/>
    </xf>
    <xf numFmtId="0" fontId="88" fillId="0" borderId="0" xfId="0" applyFont="1" applyAlignment="1" applyProtection="1">
      <alignment horizontal="right" vertical="center"/>
      <protection locked="0"/>
    </xf>
    <xf numFmtId="0" fontId="19" fillId="2" borderId="0" xfId="0" applyFont="1" applyFill="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19" fillId="0" borderId="0" xfId="0" applyFont="1" applyAlignment="1">
      <alignment horizontal="left" vertical="top"/>
    </xf>
    <xf numFmtId="0" fontId="101" fillId="0" borderId="0" xfId="0" applyFont="1" applyAlignment="1">
      <alignment horizontal="left" vertical="top"/>
    </xf>
    <xf numFmtId="0" fontId="4" fillId="0" borderId="57" xfId="0" applyFont="1" applyBorder="1" applyAlignment="1">
      <alignment horizontal="left" vertical="center"/>
    </xf>
    <xf numFmtId="0" fontId="48" fillId="2" borderId="1" xfId="0" applyFont="1" applyFill="1" applyBorder="1" applyAlignment="1">
      <alignment vertical="center" wrapText="1"/>
    </xf>
    <xf numFmtId="0" fontId="4" fillId="2" borderId="74" xfId="0" applyFont="1" applyFill="1" applyBorder="1" applyAlignment="1">
      <alignment horizontal="left" vertical="center"/>
    </xf>
    <xf numFmtId="164" fontId="85" fillId="0" borderId="0" xfId="2" applyNumberFormat="1" applyFont="1" applyFill="1" applyBorder="1" applyAlignment="1" applyProtection="1">
      <alignment horizontal="right" vertical="center"/>
      <protection locked="0"/>
    </xf>
    <xf numFmtId="0" fontId="19" fillId="2" borderId="6" xfId="0" applyFont="1" applyFill="1" applyBorder="1" applyAlignment="1">
      <alignment horizontal="left" vertical="top"/>
    </xf>
    <xf numFmtId="0" fontId="4" fillId="2" borderId="6" xfId="0" applyFont="1" applyFill="1" applyBorder="1" applyAlignment="1">
      <alignment horizontal="left" vertical="center"/>
    </xf>
    <xf numFmtId="0" fontId="17" fillId="2" borderId="6" xfId="0" applyFont="1" applyFill="1" applyBorder="1" applyAlignment="1">
      <alignment horizontal="left" vertical="top"/>
    </xf>
    <xf numFmtId="168" fontId="35" fillId="2" borderId="0" xfId="0" applyNumberFormat="1" applyFont="1" applyFill="1" applyAlignment="1">
      <alignment wrapText="1"/>
    </xf>
    <xf numFmtId="0" fontId="78" fillId="2" borderId="0" xfId="0" applyFont="1" applyFill="1" applyAlignment="1">
      <alignment horizontal="left" vertical="center" wrapText="1"/>
    </xf>
    <xf numFmtId="0" fontId="4" fillId="2" borderId="0" xfId="0" applyFont="1" applyFill="1" applyAlignment="1">
      <alignment vertical="top"/>
    </xf>
    <xf numFmtId="0" fontId="36" fillId="2" borderId="0" xfId="0" applyFont="1" applyFill="1" applyAlignment="1">
      <alignment vertical="top" wrapText="1"/>
    </xf>
    <xf numFmtId="0" fontId="43" fillId="2" borderId="75" xfId="0" applyFont="1" applyFill="1" applyBorder="1" applyAlignment="1">
      <alignment horizontal="right" vertical="center"/>
    </xf>
    <xf numFmtId="0" fontId="43" fillId="2" borderId="75" xfId="0" applyFont="1" applyFill="1" applyBorder="1" applyAlignment="1">
      <alignment horizontal="right" vertical="center" wrapText="1"/>
    </xf>
    <xf numFmtId="0" fontId="43" fillId="2" borderId="75" xfId="0" applyFont="1" applyFill="1" applyBorder="1" applyAlignment="1">
      <alignment horizontal="left" vertical="center"/>
    </xf>
    <xf numFmtId="0" fontId="4" fillId="2" borderId="75" xfId="0" applyFont="1" applyFill="1" applyBorder="1" applyAlignment="1">
      <alignment horizontal="left" vertical="center"/>
    </xf>
    <xf numFmtId="0" fontId="4" fillId="2" borderId="75" xfId="0" applyFont="1" applyFill="1" applyBorder="1" applyAlignment="1">
      <alignment vertical="center"/>
    </xf>
    <xf numFmtId="0" fontId="4" fillId="0" borderId="75" xfId="0" applyFont="1" applyBorder="1" applyAlignment="1">
      <alignment horizontal="left" vertical="center"/>
    </xf>
    <xf numFmtId="0" fontId="85" fillId="2" borderId="75" xfId="0" applyFont="1" applyFill="1" applyBorder="1" applyAlignment="1">
      <alignment horizontal="left" vertical="center"/>
    </xf>
    <xf numFmtId="0" fontId="19" fillId="2" borderId="76" xfId="0" applyFont="1" applyFill="1" applyBorder="1" applyAlignment="1">
      <alignment horizontal="left" vertical="top"/>
    </xf>
    <xf numFmtId="0" fontId="4" fillId="2" borderId="76" xfId="0" applyFont="1" applyFill="1" applyBorder="1" applyAlignment="1">
      <alignment horizontal="left" vertical="center"/>
    </xf>
    <xf numFmtId="0" fontId="36"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19" fillId="2" borderId="77" xfId="0" applyFont="1" applyFill="1" applyBorder="1" applyAlignment="1">
      <alignment horizontal="left" vertical="top"/>
    </xf>
    <xf numFmtId="0" fontId="4" fillId="2" borderId="76" xfId="0" applyFont="1" applyFill="1" applyBorder="1" applyAlignment="1">
      <alignment vertical="center" wrapText="1"/>
    </xf>
    <xf numFmtId="0" fontId="36" fillId="2" borderId="0" xfId="0" applyFont="1" applyFill="1" applyAlignment="1">
      <alignment vertical="top"/>
    </xf>
    <xf numFmtId="164" fontId="85" fillId="0" borderId="0" xfId="0" applyNumberFormat="1" applyFont="1" applyAlignment="1" applyProtection="1">
      <alignment horizontal="left" vertical="center"/>
      <protection locked="0"/>
    </xf>
    <xf numFmtId="164" fontId="85" fillId="0" borderId="0" xfId="2" applyNumberFormat="1" applyFont="1" applyFill="1" applyBorder="1" applyAlignment="1" applyProtection="1">
      <alignment horizontal="left" vertical="center"/>
      <protection locked="0"/>
    </xf>
    <xf numFmtId="0" fontId="41" fillId="2" borderId="0" xfId="0" applyFont="1" applyFill="1" applyAlignment="1">
      <alignment vertical="center"/>
    </xf>
    <xf numFmtId="0" fontId="68" fillId="2" borderId="0" xfId="0" applyFont="1" applyFill="1" applyAlignment="1">
      <alignment vertical="top"/>
    </xf>
    <xf numFmtId="0" fontId="100" fillId="2" borderId="0" xfId="0" applyFont="1" applyFill="1" applyAlignment="1">
      <alignment horizontal="left" vertical="center"/>
    </xf>
    <xf numFmtId="0" fontId="4" fillId="0" borderId="0" xfId="0" quotePrefix="1" applyFont="1" applyAlignment="1">
      <alignment horizontal="left" vertical="top"/>
    </xf>
    <xf numFmtId="43" fontId="54" fillId="2" borderId="0" xfId="0" applyNumberFormat="1" applyFont="1" applyFill="1" applyAlignment="1">
      <alignment horizontal="center" vertical="center"/>
    </xf>
    <xf numFmtId="43" fontId="102" fillId="2" borderId="0" xfId="0" applyNumberFormat="1" applyFont="1" applyFill="1" applyAlignment="1">
      <alignment horizontal="left" vertical="center"/>
    </xf>
    <xf numFmtId="0" fontId="50" fillId="2" borderId="0" xfId="0" applyFont="1" applyFill="1" applyAlignment="1">
      <alignment horizontal="left" vertical="center"/>
    </xf>
    <xf numFmtId="0" fontId="78" fillId="0" borderId="0" xfId="0" applyFont="1" applyAlignment="1">
      <alignment horizontal="left" vertical="center"/>
    </xf>
    <xf numFmtId="43" fontId="85" fillId="0" borderId="0" xfId="2" applyFont="1" applyFill="1" applyAlignment="1" applyProtection="1">
      <alignment horizontal="left" vertical="center"/>
    </xf>
    <xf numFmtId="43" fontId="85" fillId="0" borderId="0" xfId="2" applyFont="1" applyFill="1" applyBorder="1" applyAlignment="1" applyProtection="1">
      <alignment horizontal="left" vertical="center"/>
    </xf>
    <xf numFmtId="0" fontId="104" fillId="0" borderId="0" xfId="0" applyFont="1" applyAlignment="1">
      <alignment horizontal="left" vertical="center"/>
    </xf>
    <xf numFmtId="0" fontId="85" fillId="0" borderId="67" xfId="0" applyFont="1" applyBorder="1" applyAlignment="1" applyProtection="1">
      <alignment horizontal="center" vertical="center"/>
      <protection locked="0"/>
    </xf>
    <xf numFmtId="0" fontId="85" fillId="0" borderId="68" xfId="0" applyFont="1" applyBorder="1" applyAlignment="1" applyProtection="1">
      <alignment horizontal="center" vertical="center"/>
      <protection locked="0"/>
    </xf>
    <xf numFmtId="168" fontId="4" fillId="2" borderId="0" xfId="0" applyNumberFormat="1" applyFont="1" applyFill="1" applyAlignment="1">
      <alignment horizontal="right" vertical="center" wrapText="1"/>
    </xf>
    <xf numFmtId="0" fontId="78" fillId="2" borderId="0" xfId="0" applyFont="1" applyFill="1" applyAlignment="1">
      <alignment horizontal="left" vertical="top" wrapText="1"/>
    </xf>
    <xf numFmtId="0" fontId="88" fillId="0" borderId="0" xfId="0" quotePrefix="1" applyFont="1" applyAlignment="1" applyProtection="1">
      <alignment horizontal="left" vertical="center"/>
      <protection locked="0"/>
    </xf>
    <xf numFmtId="164" fontId="88" fillId="0" borderId="0" xfId="2" applyNumberFormat="1" applyFont="1" applyFill="1" applyBorder="1" applyAlignment="1" applyProtection="1">
      <alignment horizontal="right" vertical="center"/>
      <protection locked="0"/>
    </xf>
    <xf numFmtId="168" fontId="85" fillId="0" borderId="0" xfId="0" applyNumberFormat="1" applyFont="1" applyAlignment="1" applyProtection="1">
      <alignment horizontal="center" vertical="center"/>
      <protection locked="0"/>
    </xf>
    <xf numFmtId="1" fontId="88" fillId="0" borderId="0" xfId="0" applyNumberFormat="1" applyFont="1" applyAlignment="1" applyProtection="1">
      <alignment horizontal="right" vertical="center"/>
      <protection locked="0"/>
    </xf>
    <xf numFmtId="9" fontId="85" fillId="0" borderId="0" xfId="3" applyFont="1" applyFill="1" applyBorder="1" applyAlignment="1" applyProtection="1">
      <alignment horizontal="right" vertical="center"/>
      <protection locked="0"/>
    </xf>
    <xf numFmtId="9" fontId="85" fillId="0" borderId="0" xfId="0" applyNumberFormat="1" applyFont="1" applyAlignment="1" applyProtection="1">
      <alignment horizontal="right" vertical="center"/>
      <protection locked="0"/>
    </xf>
    <xf numFmtId="2" fontId="85" fillId="0" borderId="0" xfId="0" applyNumberFormat="1" applyFont="1" applyAlignment="1" applyProtection="1">
      <alignment horizontal="right" vertical="center"/>
      <protection locked="0"/>
    </xf>
    <xf numFmtId="0" fontId="85" fillId="0" borderId="66" xfId="0" applyFont="1" applyBorder="1" applyAlignment="1" applyProtection="1">
      <alignment horizontal="left" vertical="center"/>
      <protection locked="0"/>
    </xf>
    <xf numFmtId="0" fontId="19" fillId="2" borderId="0" xfId="0" applyFont="1" applyFill="1" applyAlignment="1">
      <alignment horizontal="left"/>
    </xf>
    <xf numFmtId="0" fontId="7" fillId="2" borderId="0" xfId="0" applyFont="1" applyFill="1" applyAlignment="1">
      <alignment vertical="center" wrapText="1"/>
    </xf>
    <xf numFmtId="0" fontId="67" fillId="2" borderId="0" xfId="0" applyFont="1" applyFill="1" applyAlignment="1">
      <alignment horizontal="left" vertical="top"/>
    </xf>
    <xf numFmtId="0" fontId="107" fillId="2" borderId="0" xfId="0" applyFont="1" applyFill="1" applyAlignment="1">
      <alignment horizontal="left" vertical="center"/>
    </xf>
    <xf numFmtId="0" fontId="85" fillId="0" borderId="0" xfId="0" quotePrefix="1" applyFont="1" applyAlignment="1" applyProtection="1">
      <alignment horizontal="right" vertical="center"/>
      <protection locked="0"/>
    </xf>
    <xf numFmtId="169" fontId="85" fillId="0" borderId="0" xfId="0" applyNumberFormat="1" applyFont="1" applyAlignment="1" applyProtection="1">
      <alignment horizontal="left" vertical="center"/>
      <protection locked="0"/>
    </xf>
    <xf numFmtId="170" fontId="85" fillId="0" borderId="0" xfId="2" applyNumberFormat="1" applyFont="1" applyFill="1" applyBorder="1" applyAlignment="1" applyProtection="1">
      <alignment horizontal="left" vertical="center"/>
      <protection locked="0"/>
    </xf>
    <xf numFmtId="170" fontId="85" fillId="0" borderId="0" xfId="2" applyNumberFormat="1" applyFont="1" applyFill="1" applyBorder="1" applyAlignment="1" applyProtection="1">
      <alignment horizontal="center" vertical="center"/>
      <protection locked="0"/>
    </xf>
    <xf numFmtId="0" fontId="11" fillId="2" borderId="22" xfId="0" applyFont="1" applyFill="1" applyBorder="1" applyAlignment="1">
      <alignment vertical="center"/>
    </xf>
    <xf numFmtId="0" fontId="4" fillId="2" borderId="0" xfId="0" applyFont="1" applyFill="1" applyAlignment="1">
      <alignment vertical="top" wrapText="1"/>
    </xf>
    <xf numFmtId="0" fontId="55" fillId="2" borderId="0" xfId="0" applyFont="1" applyFill="1" applyAlignment="1">
      <alignment vertical="center"/>
    </xf>
    <xf numFmtId="0" fontId="101" fillId="2" borderId="0" xfId="0" applyFont="1" applyFill="1" applyAlignment="1">
      <alignment horizontal="left" vertical="center"/>
    </xf>
    <xf numFmtId="0" fontId="85" fillId="0" borderId="0" xfId="0" quotePrefix="1" applyFont="1" applyAlignment="1">
      <alignment horizontal="left" vertical="center"/>
    </xf>
    <xf numFmtId="0" fontId="85" fillId="2" borderId="0" xfId="0" applyFont="1" applyFill="1" applyAlignment="1" applyProtection="1">
      <alignment horizontal="left" vertical="center"/>
      <protection locked="0"/>
    </xf>
    <xf numFmtId="0" fontId="109" fillId="2" borderId="0" xfId="4" applyFont="1" applyFill="1"/>
    <xf numFmtId="0" fontId="110" fillId="2" borderId="0" xfId="4" applyFont="1" applyFill="1"/>
    <xf numFmtId="0" fontId="111" fillId="2" borderId="0" xfId="4" applyFont="1" applyFill="1" applyAlignment="1">
      <alignment vertical="center"/>
    </xf>
    <xf numFmtId="0" fontId="109" fillId="2" borderId="1" xfId="4" applyFont="1" applyFill="1" applyBorder="1"/>
    <xf numFmtId="0" fontId="110" fillId="2" borderId="1" xfId="4" applyFont="1" applyFill="1" applyBorder="1"/>
    <xf numFmtId="0" fontId="120" fillId="2" borderId="1" xfId="4" applyFont="1" applyFill="1" applyBorder="1" applyAlignment="1">
      <alignment horizontal="right"/>
    </xf>
    <xf numFmtId="0" fontId="113" fillId="2" borderId="0" xfId="4" applyFont="1" applyFill="1"/>
    <xf numFmtId="0" fontId="115" fillId="2" borderId="0" xfId="4" applyFont="1" applyFill="1"/>
    <xf numFmtId="49" fontId="110" fillId="2" borderId="0" xfId="4" applyNumberFormat="1" applyFont="1" applyFill="1" applyAlignment="1">
      <alignment horizontal="center"/>
    </xf>
    <xf numFmtId="0" fontId="110" fillId="2" borderId="0" xfId="4" applyFont="1" applyFill="1" applyAlignment="1">
      <alignment horizontal="left" vertical="top" wrapText="1"/>
    </xf>
    <xf numFmtId="0" fontId="110" fillId="2" borderId="0" xfId="4" applyFont="1" applyFill="1" applyAlignment="1">
      <alignment vertical="top" wrapText="1"/>
    </xf>
    <xf numFmtId="0" fontId="110" fillId="2" borderId="0" xfId="4" applyFont="1" applyFill="1" applyAlignment="1">
      <alignment horizontal="center" vertical="top" wrapText="1"/>
    </xf>
    <xf numFmtId="49" fontId="110" fillId="2" borderId="0" xfId="4" applyNumberFormat="1" applyFont="1" applyFill="1"/>
    <xf numFmtId="0" fontId="110" fillId="3" borderId="30" xfId="4" applyFont="1" applyFill="1" applyBorder="1"/>
    <xf numFmtId="0" fontId="119" fillId="2" borderId="0" xfId="4" applyFont="1" applyFill="1"/>
    <xf numFmtId="0" fontId="110" fillId="2" borderId="0" xfId="4" applyFont="1" applyFill="1" applyAlignment="1">
      <alignment horizontal="center"/>
    </xf>
    <xf numFmtId="0" fontId="110" fillId="2" borderId="0" xfId="4" applyFont="1" applyFill="1" applyAlignment="1">
      <alignment horizontal="left" vertical="top"/>
    </xf>
    <xf numFmtId="0" fontId="85" fillId="0" borderId="0" xfId="0" applyFont="1" applyAlignment="1" applyProtection="1">
      <alignment horizontal="left" vertical="top"/>
      <protection locked="0"/>
    </xf>
    <xf numFmtId="0" fontId="85" fillId="0" borderId="0" xfId="0" applyFont="1" applyAlignment="1">
      <alignment horizontal="left" vertical="top"/>
    </xf>
    <xf numFmtId="0" fontId="5" fillId="2" borderId="0" xfId="0" applyFont="1" applyFill="1" applyAlignment="1">
      <alignment vertical="top" wrapText="1"/>
    </xf>
    <xf numFmtId="0" fontId="4" fillId="2" borderId="0" xfId="0" quotePrefix="1" applyFont="1" applyFill="1"/>
    <xf numFmtId="0" fontId="5" fillId="2" borderId="0" xfId="0" applyFont="1" applyFill="1"/>
    <xf numFmtId="0" fontId="5" fillId="2" borderId="0" xfId="0" applyFont="1" applyFill="1" applyAlignment="1">
      <alignment wrapText="1"/>
    </xf>
    <xf numFmtId="0" fontId="0" fillId="2" borderId="0" xfId="0" applyFill="1"/>
    <xf numFmtId="0" fontId="4" fillId="2" borderId="0" xfId="0" applyFont="1" applyFill="1"/>
    <xf numFmtId="0" fontId="46" fillId="2" borderId="0" xfId="0" quotePrefix="1" applyFont="1" applyFill="1"/>
    <xf numFmtId="0" fontId="4" fillId="0" borderId="0" xfId="0" applyFont="1"/>
    <xf numFmtId="0" fontId="85" fillId="0" borderId="0" xfId="0" applyFont="1" applyProtection="1">
      <protection locked="0"/>
    </xf>
    <xf numFmtId="0" fontId="85" fillId="0" borderId="0" xfId="0" applyFont="1"/>
    <xf numFmtId="0" fontId="0" fillId="2" borderId="0" xfId="0" applyFill="1" applyAlignment="1">
      <alignment horizontal="left" vertical="center"/>
    </xf>
    <xf numFmtId="0" fontId="125" fillId="0" borderId="22" xfId="0" applyFont="1" applyBorder="1"/>
    <xf numFmtId="0" fontId="124" fillId="0" borderId="20" xfId="0" applyFont="1" applyBorder="1"/>
    <xf numFmtId="0" fontId="125" fillId="0" borderId="25" xfId="0" applyFont="1" applyBorder="1"/>
    <xf numFmtId="0" fontId="125" fillId="0" borderId="25" xfId="0" applyFont="1" applyBorder="1" applyAlignment="1">
      <alignment horizontal="center"/>
    </xf>
    <xf numFmtId="0" fontId="125" fillId="0" borderId="21" xfId="0" applyFont="1" applyBorder="1" applyAlignment="1">
      <alignment horizontal="center"/>
    </xf>
    <xf numFmtId="0" fontId="125" fillId="0" borderId="6" xfId="0" applyFont="1" applyBorder="1"/>
    <xf numFmtId="0" fontId="125" fillId="0" borderId="0" xfId="0" applyFont="1"/>
    <xf numFmtId="0" fontId="125" fillId="0" borderId="0" xfId="0" applyFont="1" applyAlignment="1">
      <alignment horizontal="center"/>
    </xf>
    <xf numFmtId="0" fontId="125" fillId="0" borderId="22" xfId="0" applyFont="1" applyBorder="1" applyAlignment="1">
      <alignment horizontal="center"/>
    </xf>
    <xf numFmtId="0" fontId="125" fillId="0" borderId="6" xfId="0" applyFont="1" applyBorder="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2" fontId="123" fillId="0" borderId="22" xfId="0" applyNumberFormat="1" applyFont="1" applyBorder="1" applyAlignment="1">
      <alignment horizontal="center"/>
    </xf>
    <xf numFmtId="0" fontId="125" fillId="0" borderId="23" xfId="0" applyFont="1" applyBorder="1" applyAlignment="1">
      <alignment horizontal="center"/>
    </xf>
    <xf numFmtId="0" fontId="125" fillId="0" borderId="3" xfId="0" applyFont="1" applyBorder="1"/>
    <xf numFmtId="0" fontId="125" fillId="0" borderId="24" xfId="0" applyFont="1" applyBorder="1"/>
    <xf numFmtId="0" fontId="123" fillId="0" borderId="3" xfId="0" applyFont="1" applyBorder="1" applyAlignment="1">
      <alignment horizontal="center"/>
    </xf>
    <xf numFmtId="2" fontId="123" fillId="0" borderId="24" xfId="0" applyNumberFormat="1" applyFont="1" applyBorder="1" applyAlignment="1">
      <alignment horizontal="center"/>
    </xf>
    <xf numFmtId="43" fontId="125" fillId="0" borderId="0" xfId="2" applyFont="1" applyBorder="1"/>
    <xf numFmtId="43" fontId="125" fillId="0" borderId="3" xfId="2" applyFont="1" applyBorder="1"/>
    <xf numFmtId="43" fontId="88" fillId="0" borderId="0" xfId="2" applyFont="1" applyAlignment="1" applyProtection="1">
      <alignment horizontal="right" vertical="center"/>
      <protection locked="0"/>
    </xf>
    <xf numFmtId="167" fontId="7" fillId="4" borderId="0" xfId="2" applyNumberFormat="1" applyFont="1" applyFill="1" applyBorder="1" applyAlignment="1" applyProtection="1">
      <alignment vertical="center"/>
    </xf>
    <xf numFmtId="167" fontId="7" fillId="3" borderId="0" xfId="2" applyNumberFormat="1" applyFont="1" applyFill="1" applyBorder="1" applyAlignment="1" applyProtection="1">
      <alignment vertical="center"/>
      <protection locked="0"/>
    </xf>
    <xf numFmtId="0" fontId="108" fillId="2" borderId="78" xfId="0" applyFont="1" applyFill="1" applyBorder="1" applyAlignment="1">
      <alignment vertical="top" wrapText="1"/>
    </xf>
    <xf numFmtId="0" fontId="108" fillId="2" borderId="0" xfId="0" applyFont="1" applyFill="1" applyAlignment="1">
      <alignment vertical="top" wrapText="1"/>
    </xf>
    <xf numFmtId="0" fontId="6" fillId="2" borderId="0" xfId="0" applyFont="1" applyFill="1" applyAlignment="1">
      <alignment vertical="center"/>
    </xf>
    <xf numFmtId="0" fontId="85" fillId="0" borderId="66" xfId="0" applyFont="1" applyBorder="1" applyAlignment="1">
      <alignment horizontal="left" vertical="center"/>
    </xf>
    <xf numFmtId="0" fontId="85" fillId="0" borderId="67" xfId="0" applyFont="1" applyBorder="1" applyAlignment="1">
      <alignment horizontal="center" vertical="center"/>
    </xf>
    <xf numFmtId="0" fontId="85" fillId="0" borderId="68" xfId="0" applyFont="1" applyBorder="1" applyAlignment="1">
      <alignment horizontal="center" vertical="center"/>
    </xf>
    <xf numFmtId="0" fontId="85" fillId="0" borderId="69" xfId="0" applyFont="1" applyBorder="1" applyAlignment="1">
      <alignment horizontal="left" vertical="center"/>
    </xf>
    <xf numFmtId="0" fontId="85" fillId="0" borderId="70" xfId="0" applyFont="1" applyBorder="1" applyAlignment="1">
      <alignment horizontal="left" vertical="center"/>
    </xf>
    <xf numFmtId="1" fontId="85" fillId="0" borderId="0" xfId="0" applyNumberFormat="1" applyFont="1" applyAlignment="1">
      <alignment horizontal="right" vertical="center"/>
    </xf>
    <xf numFmtId="0" fontId="8" fillId="2" borderId="0" xfId="0" applyFont="1" applyFill="1" applyAlignment="1">
      <alignment vertical="top"/>
    </xf>
    <xf numFmtId="0" fontId="85" fillId="0" borderId="71" xfId="0" applyFont="1" applyBorder="1" applyAlignment="1">
      <alignment horizontal="left" vertical="center"/>
    </xf>
    <xf numFmtId="0" fontId="85" fillId="0" borderId="72" xfId="0" applyFont="1" applyBorder="1" applyAlignment="1">
      <alignment horizontal="left" vertical="center"/>
    </xf>
    <xf numFmtId="1" fontId="85" fillId="0" borderId="72" xfId="0" applyNumberFormat="1" applyFont="1" applyBorder="1" applyAlignment="1">
      <alignment horizontal="right" vertical="center"/>
    </xf>
    <xf numFmtId="0" fontId="85" fillId="0" borderId="73" xfId="0" applyFont="1" applyBorder="1" applyAlignment="1">
      <alignment horizontal="left" vertical="center"/>
    </xf>
    <xf numFmtId="0" fontId="85" fillId="0" borderId="0" xfId="0" applyFont="1" applyAlignment="1">
      <alignment horizontal="center" vertical="center"/>
    </xf>
    <xf numFmtId="0" fontId="45" fillId="2" borderId="0" xfId="0" applyFont="1" applyFill="1" applyAlignment="1">
      <alignment horizontal="right" vertical="center"/>
    </xf>
    <xf numFmtId="164" fontId="85" fillId="0" borderId="0" xfId="2" applyNumberFormat="1" applyFont="1" applyFill="1" applyBorder="1" applyAlignment="1" applyProtection="1">
      <alignment horizontal="left" vertical="center"/>
    </xf>
    <xf numFmtId="43" fontId="85" fillId="0" borderId="0" xfId="2" applyFont="1" applyFill="1" applyBorder="1" applyAlignment="1" applyProtection="1">
      <alignment horizontal="right" vertical="center"/>
    </xf>
    <xf numFmtId="1" fontId="85" fillId="0" borderId="0" xfId="0" applyNumberFormat="1" applyFont="1" applyAlignment="1">
      <alignment horizontal="left" vertical="center"/>
    </xf>
    <xf numFmtId="164" fontId="85" fillId="0" borderId="0" xfId="0" applyNumberFormat="1" applyFont="1" applyAlignment="1">
      <alignment horizontal="left" vertical="center"/>
    </xf>
    <xf numFmtId="0" fontId="28" fillId="2" borderId="0" xfId="0" applyFont="1" applyFill="1" applyAlignment="1">
      <alignment horizontal="right" vertical="center"/>
    </xf>
    <xf numFmtId="172" fontId="85" fillId="0" borderId="0" xfId="0" applyNumberFormat="1" applyFont="1" applyAlignment="1">
      <alignment horizontal="left" vertical="center"/>
    </xf>
    <xf numFmtId="0" fontId="45" fillId="2" borderId="1" xfId="0" applyFont="1" applyFill="1" applyBorder="1" applyAlignment="1">
      <alignment horizontal="left" vertical="center"/>
    </xf>
    <xf numFmtId="43" fontId="85" fillId="0" borderId="0" xfId="0" applyNumberFormat="1" applyFont="1" applyAlignment="1">
      <alignment horizontal="left" vertical="center"/>
    </xf>
    <xf numFmtId="0" fontId="6" fillId="0" borderId="0" xfId="0" applyFont="1" applyAlignment="1">
      <alignment horizontal="left" vertical="center"/>
    </xf>
    <xf numFmtId="171" fontId="85" fillId="0" borderId="0" xfId="0" applyNumberFormat="1" applyFont="1" applyAlignment="1">
      <alignment horizontal="left" vertical="center"/>
    </xf>
    <xf numFmtId="0" fontId="45" fillId="2" borderId="54" xfId="0" applyFont="1" applyFill="1" applyBorder="1" applyAlignment="1">
      <alignment vertical="center" wrapText="1"/>
    </xf>
    <xf numFmtId="0" fontId="45" fillId="2" borderId="0" xfId="0" applyFont="1" applyFill="1" applyAlignment="1">
      <alignment vertical="center" wrapText="1"/>
    </xf>
    <xf numFmtId="0" fontId="98" fillId="2" borderId="59" xfId="0" applyFont="1" applyFill="1" applyBorder="1" applyAlignment="1">
      <alignment horizontal="left" vertical="center"/>
    </xf>
    <xf numFmtId="0" fontId="85" fillId="9" borderId="0" xfId="0" applyFont="1" applyFill="1" applyAlignment="1" applyProtection="1">
      <alignment horizontal="left" vertical="center"/>
      <protection locked="0"/>
    </xf>
    <xf numFmtId="0" fontId="129" fillId="2" borderId="0" xfId="0" applyFont="1" applyFill="1" applyAlignment="1">
      <alignment vertical="center"/>
    </xf>
    <xf numFmtId="0" fontId="85" fillId="10" borderId="0" xfId="0" applyFont="1" applyFill="1" applyAlignment="1" applyProtection="1">
      <alignment horizontal="center" vertical="center"/>
      <protection locked="0"/>
    </xf>
    <xf numFmtId="0" fontId="85" fillId="0" borderId="0" xfId="0" applyFont="1" applyAlignment="1" applyProtection="1">
      <alignment vertical="top" wrapText="1"/>
      <protection locked="0"/>
    </xf>
    <xf numFmtId="0" fontId="85" fillId="0" borderId="0" xfId="0" quotePrefix="1" applyFont="1" applyAlignment="1" applyProtection="1">
      <alignment vertical="center"/>
      <protection locked="0"/>
    </xf>
    <xf numFmtId="1" fontId="17" fillId="4" borderId="0" xfId="0" applyNumberFormat="1" applyFont="1" applyFill="1" applyAlignment="1">
      <alignment horizontal="center" vertical="center" wrapText="1"/>
    </xf>
    <xf numFmtId="0" fontId="109" fillId="2" borderId="84" xfId="4" applyFont="1" applyFill="1" applyBorder="1" applyAlignment="1">
      <alignment horizontal="center"/>
    </xf>
    <xf numFmtId="0" fontId="109" fillId="2" borderId="85" xfId="4" applyFont="1" applyFill="1" applyBorder="1" applyAlignment="1">
      <alignment horizontal="center"/>
    </xf>
    <xf numFmtId="0" fontId="109" fillId="2" borderId="86" xfId="4" applyFont="1" applyFill="1" applyBorder="1" applyAlignment="1">
      <alignment horizontal="center"/>
    </xf>
    <xf numFmtId="0" fontId="109" fillId="2" borderId="87" xfId="4" applyFont="1" applyFill="1" applyBorder="1" applyAlignment="1">
      <alignment horizontal="center"/>
    </xf>
    <xf numFmtId="0" fontId="109" fillId="2" borderId="40" xfId="4" applyFont="1" applyFill="1" applyBorder="1" applyAlignment="1">
      <alignment horizontal="center"/>
    </xf>
    <xf numFmtId="0" fontId="109" fillId="2" borderId="42" xfId="4" applyFont="1" applyFill="1" applyBorder="1" applyAlignment="1">
      <alignment horizontal="center"/>
    </xf>
    <xf numFmtId="0" fontId="110" fillId="2" borderId="0" xfId="4" applyFont="1" applyFill="1" applyAlignment="1">
      <alignment horizontal="left" vertical="top" wrapText="1"/>
    </xf>
    <xf numFmtId="0" fontId="111" fillId="2" borderId="0" xfId="4" applyFont="1" applyFill="1" applyAlignment="1">
      <alignment horizontal="left" vertical="center"/>
    </xf>
    <xf numFmtId="0" fontId="112" fillId="2" borderId="1" xfId="5" applyFill="1" applyBorder="1" applyAlignment="1">
      <alignment horizontal="right"/>
    </xf>
    <xf numFmtId="0" fontId="112" fillId="2" borderId="84" xfId="5" applyFill="1" applyBorder="1" applyAlignment="1">
      <alignment horizontal="center" vertical="center" wrapText="1"/>
    </xf>
    <xf numFmtId="0" fontId="112" fillId="2" borderId="85" xfId="5" applyFill="1" applyBorder="1" applyAlignment="1">
      <alignment horizontal="center" vertical="center" wrapText="1"/>
    </xf>
    <xf numFmtId="0" fontId="112" fillId="2" borderId="86" xfId="5" applyFill="1" applyBorder="1" applyAlignment="1">
      <alignment horizontal="center" vertical="center" wrapText="1"/>
    </xf>
    <xf numFmtId="0" fontId="112" fillId="2" borderId="87" xfId="5" applyFill="1" applyBorder="1" applyAlignment="1">
      <alignment horizontal="center" vertical="center" wrapText="1"/>
    </xf>
    <xf numFmtId="0" fontId="112" fillId="2" borderId="40" xfId="5" applyFill="1" applyBorder="1" applyAlignment="1">
      <alignment horizontal="center" vertical="center" wrapText="1"/>
    </xf>
    <xf numFmtId="0" fontId="112" fillId="2" borderId="42" xfId="5" applyFill="1" applyBorder="1" applyAlignment="1">
      <alignment horizontal="center" vertical="center" wrapText="1"/>
    </xf>
    <xf numFmtId="0" fontId="117" fillId="2" borderId="7" xfId="4" applyFont="1" applyFill="1" applyBorder="1" applyAlignment="1">
      <alignment horizontal="center" vertical="center"/>
    </xf>
    <xf numFmtId="0" fontId="117" fillId="2" borderId="8" xfId="4" applyFont="1" applyFill="1" applyBorder="1" applyAlignment="1">
      <alignment horizontal="center" vertical="center"/>
    </xf>
    <xf numFmtId="0" fontId="117" fillId="2" borderId="9" xfId="4" applyFont="1" applyFill="1" applyBorder="1" applyAlignment="1">
      <alignment horizontal="center" vertical="center"/>
    </xf>
    <xf numFmtId="0" fontId="117" fillId="2" borderId="10" xfId="4" applyFont="1" applyFill="1" applyBorder="1" applyAlignment="1">
      <alignment horizontal="center" vertical="center"/>
    </xf>
    <xf numFmtId="0" fontId="117" fillId="2" borderId="11" xfId="4" applyFont="1" applyFill="1" applyBorder="1" applyAlignment="1">
      <alignment horizontal="center" vertical="center"/>
    </xf>
    <xf numFmtId="0" fontId="117" fillId="2" borderId="12" xfId="4" applyFont="1" applyFill="1" applyBorder="1" applyAlignment="1">
      <alignment horizontal="center" vertical="center"/>
    </xf>
    <xf numFmtId="0" fontId="118" fillId="2" borderId="7" xfId="4" applyFont="1" applyFill="1" applyBorder="1" applyAlignment="1">
      <alignment horizontal="center" vertical="center"/>
    </xf>
    <xf numFmtId="0" fontId="118" fillId="2" borderId="8" xfId="4" applyFont="1" applyFill="1" applyBorder="1" applyAlignment="1">
      <alignment horizontal="center" vertical="center"/>
    </xf>
    <xf numFmtId="0" fontId="118" fillId="2" borderId="9" xfId="4" applyFont="1" applyFill="1" applyBorder="1" applyAlignment="1">
      <alignment horizontal="center" vertical="center"/>
    </xf>
    <xf numFmtId="0" fontId="118" fillId="2" borderId="10" xfId="4" applyFont="1" applyFill="1" applyBorder="1" applyAlignment="1">
      <alignment horizontal="center" vertical="center"/>
    </xf>
    <xf numFmtId="0" fontId="118" fillId="2" borderId="11" xfId="4" applyFont="1" applyFill="1" applyBorder="1" applyAlignment="1">
      <alignment horizontal="center" vertical="center"/>
    </xf>
    <xf numFmtId="0" fontId="118" fillId="2" borderId="12" xfId="4" applyFont="1" applyFill="1" applyBorder="1" applyAlignment="1">
      <alignment horizontal="center" vertical="center"/>
    </xf>
    <xf numFmtId="0" fontId="110" fillId="3" borderId="15" xfId="4" applyFont="1" applyFill="1" applyBorder="1" applyAlignment="1">
      <alignment horizontal="center"/>
    </xf>
    <xf numFmtId="0" fontId="110" fillId="3" borderId="16" xfId="4" applyFont="1" applyFill="1" applyBorder="1" applyAlignment="1">
      <alignment horizontal="center"/>
    </xf>
    <xf numFmtId="0" fontId="110" fillId="3" borderId="17" xfId="4" applyFont="1" applyFill="1" applyBorder="1" applyAlignment="1">
      <alignment horizontal="center"/>
    </xf>
    <xf numFmtId="0" fontId="110" fillId="8" borderId="15" xfId="4" applyFont="1" applyFill="1" applyBorder="1" applyAlignment="1">
      <alignment horizontal="center"/>
    </xf>
    <xf numFmtId="0" fontId="110" fillId="8" borderId="16" xfId="4" applyFont="1" applyFill="1" applyBorder="1" applyAlignment="1">
      <alignment horizontal="center"/>
    </xf>
    <xf numFmtId="0" fontId="110" fillId="8" borderId="17" xfId="4" applyFont="1" applyFill="1" applyBorder="1" applyAlignment="1">
      <alignment horizontal="center"/>
    </xf>
    <xf numFmtId="0" fontId="110" fillId="2" borderId="7" xfId="4" applyFont="1" applyFill="1" applyBorder="1" applyAlignment="1">
      <alignment horizontal="center"/>
    </xf>
    <xf numFmtId="0" fontId="110" fillId="2" borderId="9" xfId="4" applyFont="1" applyFill="1" applyBorder="1" applyAlignment="1">
      <alignment horizontal="center"/>
    </xf>
    <xf numFmtId="0" fontId="110" fillId="2" borderId="10" xfId="4" applyFont="1" applyFill="1" applyBorder="1" applyAlignment="1">
      <alignment horizontal="center"/>
    </xf>
    <xf numFmtId="0" fontId="110" fillId="2" borderId="12" xfId="4" applyFont="1" applyFill="1" applyBorder="1" applyAlignment="1">
      <alignment horizontal="center"/>
    </xf>
    <xf numFmtId="0" fontId="114" fillId="2" borderId="7" xfId="4" applyFont="1" applyFill="1" applyBorder="1" applyAlignment="1">
      <alignment horizontal="center" vertical="center"/>
    </xf>
    <xf numFmtId="0" fontId="114" fillId="2" borderId="8" xfId="4" applyFont="1" applyFill="1" applyBorder="1" applyAlignment="1">
      <alignment horizontal="center" vertical="center"/>
    </xf>
    <xf numFmtId="0" fontId="114" fillId="2" borderId="9" xfId="4" applyFont="1" applyFill="1" applyBorder="1" applyAlignment="1">
      <alignment horizontal="center" vertical="center"/>
    </xf>
    <xf numFmtId="0" fontId="114" fillId="2" borderId="10" xfId="4" applyFont="1" applyFill="1" applyBorder="1" applyAlignment="1">
      <alignment horizontal="center" vertical="center"/>
    </xf>
    <xf numFmtId="0" fontId="114" fillId="2" borderId="11" xfId="4" applyFont="1" applyFill="1" applyBorder="1" applyAlignment="1">
      <alignment horizontal="center" vertical="center"/>
    </xf>
    <xf numFmtId="0" fontId="114" fillId="2" borderId="12" xfId="4" applyFont="1" applyFill="1" applyBorder="1" applyAlignment="1">
      <alignment horizontal="center" vertical="center"/>
    </xf>
    <xf numFmtId="0" fontId="17" fillId="2" borderId="0" xfId="0" applyFont="1" applyFill="1" applyAlignment="1">
      <alignment horizontal="left" vertical="center" wrapText="1"/>
    </xf>
    <xf numFmtId="0" fontId="4" fillId="3" borderId="0" xfId="0" applyFont="1" applyFill="1" applyAlignment="1" applyProtection="1">
      <alignment horizontal="left" vertical="center" wrapText="1"/>
      <protection locked="0"/>
    </xf>
    <xf numFmtId="0" fontId="125" fillId="0" borderId="6" xfId="0" applyFont="1" applyBorder="1" applyAlignment="1">
      <alignment horizontal="center"/>
    </xf>
    <xf numFmtId="0" fontId="125" fillId="0" borderId="0" xfId="0" applyFont="1" applyAlignment="1">
      <alignment horizontal="center"/>
    </xf>
    <xf numFmtId="0" fontId="123" fillId="0" borderId="0" xfId="0" applyFont="1" applyAlignment="1">
      <alignment horizontal="center"/>
    </xf>
    <xf numFmtId="0" fontId="123" fillId="0" borderId="22" xfId="0" applyFont="1" applyBorder="1" applyAlignment="1">
      <alignment horizontal="center"/>
    </xf>
    <xf numFmtId="0" fontId="88" fillId="0" borderId="0" xfId="0" applyFont="1" applyAlignment="1" applyProtection="1">
      <alignment horizontal="center" vertical="center"/>
      <protection locked="0"/>
    </xf>
    <xf numFmtId="0" fontId="5" fillId="2" borderId="0" xfId="0" applyFont="1" applyFill="1" applyAlignment="1">
      <alignment horizontal="center" vertical="center"/>
    </xf>
    <xf numFmtId="1" fontId="31" fillId="2" borderId="0" xfId="2" applyNumberFormat="1" applyFont="1" applyFill="1" applyBorder="1" applyAlignment="1" applyProtection="1">
      <alignment horizontal="center" vertical="center"/>
    </xf>
    <xf numFmtId="168" fontId="4" fillId="2" borderId="0" xfId="0" applyNumberFormat="1" applyFont="1" applyFill="1" applyAlignment="1">
      <alignment horizontal="right" vertical="center" wrapText="1"/>
    </xf>
    <xf numFmtId="0" fontId="106" fillId="2" borderId="0" xfId="0" applyFont="1" applyFill="1" applyAlignment="1">
      <alignment horizontal="right" wrapText="1"/>
    </xf>
    <xf numFmtId="0" fontId="4" fillId="2" borderId="0" xfId="0" applyFont="1" applyFill="1" applyAlignment="1">
      <alignment horizontal="right" vertical="center"/>
    </xf>
    <xf numFmtId="1" fontId="5" fillId="3" borderId="0" xfId="0" applyNumberFormat="1" applyFont="1" applyFill="1" applyAlignment="1" applyProtection="1">
      <alignment horizontal="center" vertical="center"/>
      <protection locked="0"/>
    </xf>
    <xf numFmtId="164" fontId="19" fillId="4" borderId="0" xfId="2" applyNumberFormat="1" applyFont="1" applyFill="1" applyBorder="1" applyAlignment="1" applyProtection="1">
      <alignment horizontal="right" vertical="center" wrapText="1"/>
    </xf>
    <xf numFmtId="0" fontId="19" fillId="4" borderId="0" xfId="0" applyFont="1" applyFill="1" applyAlignment="1">
      <alignment horizontal="left" vertical="center" wrapText="1"/>
    </xf>
    <xf numFmtId="0" fontId="5" fillId="2" borderId="0" xfId="0" applyFont="1" applyFill="1" applyAlignment="1">
      <alignment horizontal="left" vertical="center"/>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4" xfId="0" applyFont="1" applyFill="1" applyBorder="1" applyAlignment="1">
      <alignment horizontal="center" vertical="center" wrapText="1"/>
    </xf>
    <xf numFmtId="3" fontId="4" fillId="2" borderId="27" xfId="0" applyNumberFormat="1" applyFont="1" applyFill="1" applyBorder="1" applyAlignment="1">
      <alignment horizontal="center" vertical="center"/>
    </xf>
    <xf numFmtId="3" fontId="4" fillId="2" borderId="16"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3" fontId="4" fillId="2" borderId="31" xfId="2" applyNumberFormat="1" applyFont="1" applyFill="1" applyBorder="1" applyAlignment="1" applyProtection="1">
      <alignment horizontal="center" vertical="center"/>
    </xf>
    <xf numFmtId="3" fontId="4" fillId="2" borderId="44" xfId="0" applyNumberFormat="1" applyFont="1" applyFill="1" applyBorder="1" applyAlignment="1">
      <alignment horizontal="center" vertical="center"/>
    </xf>
    <xf numFmtId="3" fontId="4" fillId="2" borderId="45" xfId="0" applyNumberFormat="1" applyFont="1" applyFill="1" applyBorder="1" applyAlignment="1">
      <alignment horizontal="center" vertical="center"/>
    </xf>
    <xf numFmtId="3" fontId="4" fillId="2" borderId="46" xfId="0" applyNumberFormat="1" applyFont="1" applyFill="1" applyBorder="1" applyAlignment="1">
      <alignment horizontal="center" vertical="center"/>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9"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0" xfId="0" applyFont="1" applyFill="1" applyAlignment="1" applyProtection="1">
      <alignment horizontal="center" vertical="top" wrapText="1"/>
      <protection locked="0"/>
    </xf>
    <xf numFmtId="0" fontId="4" fillId="3" borderId="14"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9" fillId="2" borderId="0" xfId="0" applyFont="1" applyFill="1" applyAlignment="1">
      <alignment horizontal="left" vertical="center"/>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2"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4" fillId="2" borderId="0" xfId="0" applyFont="1" applyFill="1" applyAlignment="1">
      <alignment horizontal="left" vertical="center" wrapText="1"/>
    </xf>
    <xf numFmtId="0" fontId="4" fillId="3" borderId="79" xfId="0" applyFont="1" applyFill="1" applyBorder="1" applyAlignment="1" applyProtection="1">
      <alignment horizontal="center" vertical="center" wrapText="1"/>
      <protection locked="0"/>
    </xf>
    <xf numFmtId="0" fontId="4" fillId="3" borderId="8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3" borderId="47"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6" borderId="47"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47" xfId="0" applyFont="1" applyFill="1" applyBorder="1" applyAlignment="1">
      <alignment horizontal="center" vertical="top"/>
    </xf>
    <xf numFmtId="0" fontId="4" fillId="6" borderId="30" xfId="0" applyFont="1" applyFill="1" applyBorder="1" applyAlignment="1">
      <alignment horizontal="center" vertical="top"/>
    </xf>
    <xf numFmtId="0" fontId="4" fillId="6" borderId="48" xfId="0" applyFont="1" applyFill="1" applyBorder="1" applyAlignment="1">
      <alignment horizontal="center" vertical="top"/>
    </xf>
    <xf numFmtId="0" fontId="4" fillId="3" borderId="49"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protection locked="0"/>
    </xf>
    <xf numFmtId="0" fontId="4" fillId="3" borderId="52" xfId="0" applyFont="1" applyFill="1" applyBorder="1" applyAlignment="1" applyProtection="1">
      <alignment horizontal="center" vertical="center" wrapText="1"/>
      <protection locked="0"/>
    </xf>
    <xf numFmtId="0" fontId="4" fillId="6" borderId="49" xfId="0" applyFont="1" applyFill="1" applyBorder="1" applyAlignment="1">
      <alignment horizontal="center" vertical="top"/>
    </xf>
    <xf numFmtId="0" fontId="4" fillId="6" borderId="50" xfId="0" applyFont="1" applyFill="1" applyBorder="1" applyAlignment="1">
      <alignment horizontal="center" vertical="top"/>
    </xf>
    <xf numFmtId="0" fontId="4" fillId="6" borderId="51" xfId="0" applyFont="1" applyFill="1" applyBorder="1" applyAlignment="1">
      <alignment horizontal="center" vertical="top"/>
    </xf>
    <xf numFmtId="0" fontId="4" fillId="2" borderId="0" xfId="0" applyFont="1" applyFill="1" applyAlignment="1">
      <alignment horizontal="left" vertical="center"/>
    </xf>
    <xf numFmtId="0" fontId="4" fillId="6" borderId="47"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48" xfId="0" applyFont="1" applyFill="1" applyBorder="1" applyAlignment="1">
      <alignment horizontal="center" vertical="center"/>
    </xf>
    <xf numFmtId="2" fontId="56" fillId="3" borderId="0" xfId="0" applyNumberFormat="1" applyFont="1" applyFill="1" applyAlignment="1" applyProtection="1">
      <alignment horizontal="center" vertical="center" wrapText="1"/>
      <protection locked="0"/>
    </xf>
    <xf numFmtId="0" fontId="19" fillId="3" borderId="0" xfId="0" applyFont="1" applyFill="1" applyAlignment="1">
      <alignment horizontal="left" vertical="center" wrapText="1"/>
    </xf>
    <xf numFmtId="0" fontId="78" fillId="2" borderId="0" xfId="0" applyFont="1" applyFill="1" applyAlignment="1">
      <alignment horizontal="left" vertical="top" wrapText="1"/>
    </xf>
    <xf numFmtId="164" fontId="7" fillId="5" borderId="20" xfId="0" applyNumberFormat="1" applyFont="1" applyFill="1" applyBorder="1" applyAlignment="1">
      <alignment horizontal="center" vertical="center" wrapText="1"/>
    </xf>
    <xf numFmtId="164" fontId="7" fillId="5" borderId="25" xfId="0" applyNumberFormat="1" applyFont="1" applyFill="1" applyBorder="1" applyAlignment="1">
      <alignment horizontal="center" vertical="center" wrapText="1"/>
    </xf>
    <xf numFmtId="164" fontId="7" fillId="5" borderId="21" xfId="0" applyNumberFormat="1" applyFont="1" applyFill="1" applyBorder="1" applyAlignment="1">
      <alignment horizontal="center" vertical="center" wrapText="1"/>
    </xf>
    <xf numFmtId="0" fontId="4" fillId="3" borderId="15"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1" fontId="4" fillId="3" borderId="40" xfId="2" applyNumberFormat="1" applyFont="1" applyFill="1" applyBorder="1" applyAlignment="1" applyProtection="1">
      <alignment horizontal="center" vertical="center"/>
      <protection locked="0"/>
    </xf>
    <xf numFmtId="1" fontId="4" fillId="3" borderId="41" xfId="2" applyNumberFormat="1" applyFont="1" applyFill="1" applyBorder="1" applyAlignment="1" applyProtection="1">
      <alignment horizontal="center" vertical="center"/>
      <protection locked="0"/>
    </xf>
    <xf numFmtId="1" fontId="4" fillId="3" borderId="42" xfId="2" applyNumberFormat="1" applyFont="1" applyFill="1" applyBorder="1" applyAlignment="1" applyProtection="1">
      <alignment horizontal="center" vertical="center"/>
      <protection locked="0"/>
    </xf>
    <xf numFmtId="168" fontId="4" fillId="4" borderId="62" xfId="2" applyNumberFormat="1" applyFont="1" applyFill="1" applyBorder="1" applyAlignment="1" applyProtection="1">
      <alignment horizontal="center" vertical="center"/>
    </xf>
    <xf numFmtId="168" fontId="4" fillId="4" borderId="63" xfId="2" applyNumberFormat="1" applyFont="1" applyFill="1" applyBorder="1" applyAlignment="1" applyProtection="1">
      <alignment horizontal="center" vertical="center"/>
    </xf>
    <xf numFmtId="168" fontId="4" fillId="4" borderId="64" xfId="2" applyNumberFormat="1" applyFont="1" applyFill="1" applyBorder="1" applyAlignment="1" applyProtection="1">
      <alignment horizontal="center" vertical="center"/>
    </xf>
    <xf numFmtId="0" fontId="4" fillId="3" borderId="2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1" fontId="4" fillId="3" borderId="29" xfId="0" applyNumberFormat="1" applyFont="1" applyFill="1" applyBorder="1" applyAlignment="1" applyProtection="1">
      <alignment horizontal="center" vertical="center"/>
      <protection locked="0"/>
    </xf>
    <xf numFmtId="1" fontId="4" fillId="3" borderId="27" xfId="0" applyNumberFormat="1" applyFont="1" applyFill="1" applyBorder="1" applyAlignment="1" applyProtection="1">
      <alignment horizontal="center" vertical="center"/>
      <protection locked="0"/>
    </xf>
    <xf numFmtId="1" fontId="4" fillId="3" borderId="16" xfId="0" applyNumberFormat="1" applyFont="1" applyFill="1" applyBorder="1" applyAlignment="1" applyProtection="1">
      <alignment horizontal="center" vertical="center"/>
      <protection locked="0"/>
    </xf>
    <xf numFmtId="1" fontId="4" fillId="3" borderId="28" xfId="0" applyNumberFormat="1" applyFont="1" applyFill="1" applyBorder="1" applyAlignment="1" applyProtection="1">
      <alignment horizontal="center" vertical="center"/>
      <protection locked="0"/>
    </xf>
    <xf numFmtId="3" fontId="4" fillId="4" borderId="37" xfId="2" applyNumberFormat="1" applyFont="1" applyFill="1" applyBorder="1" applyAlignment="1" applyProtection="1">
      <alignment horizontal="center" vertical="center"/>
    </xf>
    <xf numFmtId="3" fontId="4" fillId="4" borderId="38" xfId="2" applyNumberFormat="1" applyFont="1" applyFill="1" applyBorder="1" applyAlignment="1" applyProtection="1">
      <alignment horizontal="center" vertical="center"/>
    </xf>
    <xf numFmtId="3" fontId="4" fillId="4" borderId="39" xfId="2" applyNumberFormat="1" applyFont="1" applyFill="1" applyBorder="1" applyAlignment="1" applyProtection="1">
      <alignment horizontal="center" vertical="center"/>
    </xf>
    <xf numFmtId="3" fontId="4" fillId="2" borderId="34" xfId="0" applyNumberFormat="1" applyFont="1" applyFill="1" applyBorder="1" applyAlignment="1">
      <alignment horizontal="center" vertical="center"/>
    </xf>
    <xf numFmtId="3" fontId="4" fillId="2" borderId="35" xfId="0" applyNumberFormat="1" applyFont="1" applyFill="1" applyBorder="1" applyAlignment="1">
      <alignment horizontal="center" vertical="center"/>
    </xf>
    <xf numFmtId="3" fontId="4" fillId="2" borderId="36" xfId="0" applyNumberFormat="1" applyFont="1" applyFill="1" applyBorder="1" applyAlignment="1">
      <alignment horizontal="center" vertical="center"/>
    </xf>
    <xf numFmtId="164" fontId="7" fillId="5" borderId="2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0" fontId="4" fillId="3"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1" fontId="4" fillId="3" borderId="32" xfId="0" applyNumberFormat="1" applyFont="1" applyFill="1" applyBorder="1" applyAlignment="1" applyProtection="1">
      <alignment horizontal="center" vertical="center"/>
      <protection locked="0"/>
    </xf>
    <xf numFmtId="1" fontId="4" fillId="3" borderId="34" xfId="0" applyNumberFormat="1" applyFont="1" applyFill="1" applyBorder="1" applyAlignment="1" applyProtection="1">
      <alignment horizontal="center" vertical="center"/>
      <protection locked="0"/>
    </xf>
    <xf numFmtId="1" fontId="4" fillId="3" borderId="35" xfId="0" applyNumberFormat="1" applyFont="1" applyFill="1" applyBorder="1" applyAlignment="1" applyProtection="1">
      <alignment horizontal="center" vertical="center"/>
      <protection locked="0"/>
    </xf>
    <xf numFmtId="1" fontId="4" fillId="3" borderId="36"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2" fontId="7" fillId="3" borderId="75" xfId="2" applyNumberFormat="1" applyFont="1" applyFill="1" applyBorder="1" applyAlignment="1" applyProtection="1">
      <alignment horizontal="right" vertical="center" wrapText="1"/>
      <protection locked="0"/>
    </xf>
    <xf numFmtId="164" fontId="7" fillId="4" borderId="0" xfId="2" applyNumberFormat="1" applyFont="1" applyFill="1" applyBorder="1" applyAlignment="1" applyProtection="1">
      <alignment horizontal="center" vertical="center"/>
    </xf>
    <xf numFmtId="1" fontId="35" fillId="3" borderId="0" xfId="0" applyNumberFormat="1" applyFont="1" applyFill="1" applyAlignment="1" applyProtection="1">
      <alignment horizontal="right" vertical="center" wrapText="1"/>
      <protection locked="0"/>
    </xf>
    <xf numFmtId="164" fontId="7" fillId="4" borderId="0" xfId="2" applyNumberFormat="1" applyFont="1" applyFill="1" applyBorder="1" applyAlignment="1" applyProtection="1">
      <alignment vertical="center"/>
    </xf>
    <xf numFmtId="2" fontId="7" fillId="3" borderId="0" xfId="0" applyNumberFormat="1" applyFont="1" applyFill="1" applyAlignment="1" applyProtection="1">
      <alignment horizontal="center"/>
      <protection locked="0"/>
    </xf>
    <xf numFmtId="1" fontId="35" fillId="3" borderId="0" xfId="0" applyNumberFormat="1" applyFont="1" applyFill="1" applyAlignment="1" applyProtection="1">
      <alignment horizontal="center" vertical="center" wrapText="1"/>
      <protection locked="0"/>
    </xf>
    <xf numFmtId="1" fontId="17" fillId="3" borderId="0" xfId="0" applyNumberFormat="1" applyFont="1" applyFill="1" applyAlignment="1" applyProtection="1">
      <alignment horizontal="center" vertical="center" wrapText="1"/>
      <protection locked="0"/>
    </xf>
    <xf numFmtId="1" fontId="5" fillId="2" borderId="0" xfId="0" applyNumberFormat="1" applyFont="1" applyFill="1" applyAlignment="1">
      <alignment horizontal="right" vertical="center"/>
    </xf>
    <xf numFmtId="0" fontId="4" fillId="3" borderId="0" xfId="0" applyFont="1" applyFill="1" applyAlignment="1" applyProtection="1">
      <alignment horizontal="right" vertical="center"/>
      <protection locked="0"/>
    </xf>
    <xf numFmtId="0" fontId="36" fillId="2" borderId="0" xfId="0" applyFont="1" applyFill="1" applyAlignment="1">
      <alignment horizontal="left" vertical="top" wrapText="1"/>
    </xf>
    <xf numFmtId="0" fontId="36" fillId="2" borderId="1" xfId="0" applyFont="1" applyFill="1" applyBorder="1" applyAlignment="1">
      <alignment horizontal="left" vertical="top" wrapText="1"/>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9" fillId="2" borderId="0" xfId="0" applyFont="1" applyFill="1" applyAlignment="1">
      <alignment horizontal="left" vertical="top" wrapText="1"/>
    </xf>
    <xf numFmtId="0" fontId="9" fillId="2" borderId="56" xfId="0" applyFont="1" applyFill="1" applyBorder="1" applyAlignment="1">
      <alignment horizontal="left" vertical="top" wrapText="1"/>
    </xf>
    <xf numFmtId="165" fontId="19" fillId="4" borderId="0" xfId="0" applyNumberFormat="1" applyFont="1" applyFill="1" applyAlignment="1">
      <alignment horizontal="center" vertical="center" wrapText="1"/>
    </xf>
    <xf numFmtId="3" fontId="56" fillId="2" borderId="0" xfId="0" applyNumberFormat="1" applyFont="1" applyFill="1" applyAlignment="1">
      <alignment horizontal="center" vertical="center" wrapText="1"/>
    </xf>
    <xf numFmtId="0" fontId="56" fillId="2" borderId="0" xfId="0" applyFont="1" applyFill="1" applyAlignment="1">
      <alignment horizontal="center" vertical="center" wrapText="1"/>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4" xfId="0" applyFont="1" applyFill="1" applyBorder="1" applyAlignment="1">
      <alignment horizontal="left" vertical="center"/>
    </xf>
    <xf numFmtId="0" fontId="4" fillId="2" borderId="13" xfId="0" applyFont="1" applyFill="1" applyBorder="1" applyAlignment="1">
      <alignment horizontal="right" vertical="center"/>
    </xf>
    <xf numFmtId="0" fontId="4" fillId="2" borderId="14" xfId="0" applyFont="1" applyFill="1" applyBorder="1" applyAlignment="1">
      <alignment horizontal="right" vertical="center"/>
    </xf>
    <xf numFmtId="1" fontId="4" fillId="3" borderId="15" xfId="0" applyNumberFormat="1" applyFont="1" applyFill="1" applyBorder="1" applyAlignment="1" applyProtection="1">
      <alignment horizontal="left" vertical="center"/>
      <protection locked="0"/>
    </xf>
    <xf numFmtId="1" fontId="4" fillId="3" borderId="16" xfId="0" applyNumberFormat="1" applyFont="1" applyFill="1" applyBorder="1" applyAlignment="1" applyProtection="1">
      <alignment horizontal="left" vertical="center"/>
      <protection locked="0"/>
    </xf>
    <xf numFmtId="1" fontId="4" fillId="3" borderId="17" xfId="0" applyNumberFormat="1" applyFont="1" applyFill="1" applyBorder="1" applyAlignment="1" applyProtection="1">
      <alignment horizontal="left" vertical="center"/>
      <protection locked="0"/>
    </xf>
    <xf numFmtId="1" fontId="58" fillId="3" borderId="0" xfId="0" applyNumberFormat="1" applyFont="1" applyFill="1" applyAlignment="1" applyProtection="1">
      <alignment horizontal="center" vertical="center" wrapText="1"/>
      <protection locked="0"/>
    </xf>
    <xf numFmtId="165" fontId="56" fillId="4" borderId="0" xfId="0" applyNumberFormat="1" applyFont="1" applyFill="1" applyAlignment="1">
      <alignment horizontal="center" vertical="center" wrapText="1"/>
    </xf>
    <xf numFmtId="2" fontId="7" fillId="3" borderId="0" xfId="0" applyNumberFormat="1" applyFont="1" applyFill="1" applyAlignment="1" applyProtection="1">
      <alignment horizontal="right" vertical="center"/>
      <protection locked="0"/>
    </xf>
    <xf numFmtId="0" fontId="56" fillId="4" borderId="0" xfId="0" applyFont="1" applyFill="1" applyAlignment="1">
      <alignment horizontal="left" vertical="center" wrapText="1"/>
    </xf>
    <xf numFmtId="1"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left" vertical="center" wrapText="1"/>
    </xf>
    <xf numFmtId="164" fontId="7" fillId="4" borderId="0" xfId="2" applyNumberFormat="1" applyFont="1" applyFill="1" applyBorder="1" applyAlignment="1" applyProtection="1">
      <alignment horizontal="right" vertical="center"/>
    </xf>
    <xf numFmtId="1" fontId="35" fillId="3" borderId="0" xfId="0" applyNumberFormat="1" applyFont="1" applyFill="1" applyAlignment="1" applyProtection="1">
      <alignment vertical="center" wrapText="1"/>
      <protection locked="0"/>
    </xf>
    <xf numFmtId="1" fontId="19" fillId="3" borderId="0" xfId="0" applyNumberFormat="1" applyFont="1" applyFill="1" applyAlignment="1" applyProtection="1">
      <alignment horizontal="center" vertical="center" wrapText="1"/>
      <protection locked="0"/>
    </xf>
    <xf numFmtId="0" fontId="43" fillId="2" borderId="0" xfId="0" applyFont="1" applyFill="1" applyAlignment="1">
      <alignment horizontal="left" vertical="center" wrapText="1"/>
    </xf>
    <xf numFmtId="2" fontId="7" fillId="3" borderId="0" xfId="0" applyNumberFormat="1" applyFont="1" applyFill="1" applyProtection="1">
      <protection locked="0"/>
    </xf>
    <xf numFmtId="2" fontId="7" fillId="3" borderId="0" xfId="0" applyNumberFormat="1" applyFont="1" applyFill="1" applyAlignment="1" applyProtection="1">
      <alignment horizontal="right"/>
      <protection locked="0"/>
    </xf>
    <xf numFmtId="0" fontId="100" fillId="2" borderId="0" xfId="0" applyFont="1" applyFill="1" applyAlignment="1">
      <alignment horizontal="left" vertical="top" wrapText="1" shrinkToFit="1"/>
    </xf>
    <xf numFmtId="1" fontId="5" fillId="2" borderId="0" xfId="0" applyNumberFormat="1" applyFont="1" applyFill="1" applyAlignment="1">
      <alignment horizontal="center" vertical="center"/>
    </xf>
    <xf numFmtId="0" fontId="31" fillId="2" borderId="0" xfId="0"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43" fontId="7" fillId="4" borderId="0" xfId="2" applyFont="1" applyFill="1" applyBorder="1" applyAlignment="1" applyProtection="1">
      <alignment horizontal="center" vertical="center" wrapText="1"/>
    </xf>
    <xf numFmtId="2" fontId="7" fillId="2" borderId="0" xfId="2" applyNumberFormat="1" applyFont="1" applyFill="1" applyBorder="1" applyAlignment="1" applyProtection="1">
      <alignment horizontal="right" vertical="center" wrapText="1"/>
      <protection locked="0"/>
    </xf>
    <xf numFmtId="0" fontId="7" fillId="5" borderId="2" xfId="0" applyFont="1" applyFill="1" applyBorder="1" applyAlignment="1">
      <alignment horizontal="center" vertical="center" wrapText="1"/>
    </xf>
    <xf numFmtId="1" fontId="58" fillId="2" borderId="0" xfId="2" applyNumberFormat="1" applyFont="1" applyFill="1" applyBorder="1" applyAlignment="1" applyProtection="1">
      <alignment horizontal="center" vertical="center"/>
    </xf>
    <xf numFmtId="0" fontId="58" fillId="2" borderId="0" xfId="0" applyFont="1" applyFill="1" applyAlignment="1">
      <alignment horizontal="left" vertical="top" wrapText="1"/>
    </xf>
    <xf numFmtId="0" fontId="58" fillId="2" borderId="1" xfId="0" applyFont="1" applyFill="1" applyBorder="1" applyAlignment="1">
      <alignment horizontal="left" vertical="top" wrapText="1"/>
    </xf>
    <xf numFmtId="167" fontId="54" fillId="4" borderId="0" xfId="0" applyNumberFormat="1" applyFont="1" applyFill="1" applyAlignment="1">
      <alignment horizontal="center" vertical="center"/>
    </xf>
    <xf numFmtId="0" fontId="58" fillId="2" borderId="0" xfId="0" applyFont="1" applyFill="1" applyAlignment="1">
      <alignment horizontal="left" vertical="center"/>
    </xf>
    <xf numFmtId="0" fontId="8" fillId="2" borderId="0" xfId="0" applyFont="1" applyFill="1" applyAlignment="1">
      <alignment horizontal="left" vertical="center"/>
    </xf>
    <xf numFmtId="0" fontId="5" fillId="3" borderId="0" xfId="0" applyFont="1" applyFill="1" applyAlignment="1" applyProtection="1">
      <alignment horizontal="center" vertical="center"/>
      <protection locked="0"/>
    </xf>
    <xf numFmtId="43" fontId="85" fillId="0" borderId="0" xfId="0" applyNumberFormat="1"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85" fillId="0" borderId="0" xfId="0" applyFont="1" applyAlignment="1" applyProtection="1">
      <alignment horizontal="center" vertical="center" wrapText="1"/>
      <protection locked="0"/>
    </xf>
    <xf numFmtId="43" fontId="85" fillId="0" borderId="0" xfId="2"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3" fontId="7" fillId="4" borderId="0" xfId="0" applyNumberFormat="1" applyFont="1" applyFill="1" applyAlignment="1">
      <alignment horizontal="center" vertical="center"/>
    </xf>
    <xf numFmtId="167" fontId="7" fillId="4" borderId="0" xfId="2" applyNumberFormat="1" applyFont="1" applyFill="1" applyBorder="1" applyAlignment="1" applyProtection="1">
      <alignment horizontal="right" vertical="center"/>
    </xf>
    <xf numFmtId="0" fontId="85" fillId="0" borderId="0" xfId="0" applyFont="1" applyAlignment="1" applyProtection="1">
      <alignment horizontal="left" vertical="center"/>
      <protection locked="0"/>
    </xf>
    <xf numFmtId="167" fontId="85" fillId="0" borderId="0" xfId="2" applyNumberFormat="1" applyFont="1" applyFill="1" applyBorder="1" applyAlignment="1" applyProtection="1">
      <alignment horizontal="center" vertical="center"/>
      <protection locked="0"/>
    </xf>
    <xf numFmtId="0" fontId="2" fillId="2" borderId="5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1" fontId="4" fillId="3" borderId="31" xfId="0" applyNumberFormat="1" applyFont="1" applyFill="1" applyBorder="1" applyAlignment="1" applyProtection="1">
      <alignment horizontal="center" vertical="center"/>
      <protection locked="0"/>
    </xf>
    <xf numFmtId="1" fontId="4" fillId="3" borderId="44" xfId="0" applyNumberFormat="1" applyFont="1" applyFill="1" applyBorder="1" applyAlignment="1" applyProtection="1">
      <alignment horizontal="center" vertical="center"/>
      <protection locked="0"/>
    </xf>
    <xf numFmtId="1" fontId="4" fillId="3" borderId="45" xfId="0" applyNumberFormat="1" applyFont="1" applyFill="1" applyBorder="1" applyAlignment="1" applyProtection="1">
      <alignment horizontal="center" vertical="center"/>
      <protection locked="0"/>
    </xf>
    <xf numFmtId="1" fontId="4" fillId="3" borderId="46" xfId="0" applyNumberFormat="1" applyFont="1" applyFill="1" applyBorder="1" applyAlignment="1" applyProtection="1">
      <alignment horizontal="center" vertical="center"/>
      <protection locked="0"/>
    </xf>
    <xf numFmtId="164" fontId="5" fillId="3" borderId="0" xfId="2" applyNumberFormat="1" applyFont="1" applyFill="1" applyAlignment="1" applyProtection="1">
      <alignment horizontal="center" vertical="center"/>
      <protection locked="0"/>
    </xf>
    <xf numFmtId="43" fontId="85" fillId="0" borderId="0" xfId="0" applyNumberFormat="1" applyFont="1" applyAlignment="1">
      <alignment horizontal="center" vertical="center"/>
    </xf>
    <xf numFmtId="0" fontId="85" fillId="0" borderId="0" xfId="0" applyFont="1" applyAlignment="1">
      <alignment horizontal="center" vertical="center"/>
    </xf>
    <xf numFmtId="0" fontId="85" fillId="0" borderId="0" xfId="0" applyFont="1" applyAlignment="1">
      <alignment horizontal="center" vertical="center" wrapText="1"/>
    </xf>
    <xf numFmtId="43" fontId="85" fillId="0" borderId="0" xfId="2" applyFont="1" applyFill="1" applyBorder="1" applyAlignment="1" applyProtection="1">
      <alignment horizontal="center" vertical="center"/>
    </xf>
    <xf numFmtId="167" fontId="85" fillId="0" borderId="0" xfId="2" applyNumberFormat="1" applyFont="1" applyFill="1" applyBorder="1" applyAlignment="1" applyProtection="1">
      <alignment horizontal="center" vertical="center"/>
    </xf>
    <xf numFmtId="0" fontId="85" fillId="0" borderId="0" xfId="0" applyFont="1" applyAlignment="1">
      <alignment horizontal="left" vertical="center"/>
    </xf>
    <xf numFmtId="0" fontId="129" fillId="2" borderId="54" xfId="0" applyFont="1" applyFill="1" applyBorder="1" applyAlignment="1">
      <alignment horizontal="left" vertical="center" wrapText="1"/>
    </xf>
    <xf numFmtId="0" fontId="129" fillId="2" borderId="1" xfId="0" applyFont="1" applyFill="1" applyBorder="1" applyAlignment="1">
      <alignment horizontal="left" vertical="center" wrapText="1"/>
    </xf>
    <xf numFmtId="164" fontId="4" fillId="2" borderId="0" xfId="2" applyNumberFormat="1" applyFont="1" applyFill="1" applyAlignment="1" applyProtection="1">
      <alignment horizontal="center" vertical="center"/>
    </xf>
    <xf numFmtId="0" fontId="35" fillId="2" borderId="0" xfId="0" applyFont="1" applyFill="1" applyAlignment="1">
      <alignment horizontal="right" vertical="center" wrapText="1"/>
    </xf>
    <xf numFmtId="3" fontId="7" fillId="3" borderId="0" xfId="0" applyNumberFormat="1" applyFont="1" applyFill="1" applyAlignment="1">
      <alignment horizontal="center" vertical="center"/>
    </xf>
    <xf numFmtId="0" fontId="4" fillId="6" borderId="47"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center" vertical="center" wrapText="1"/>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6" borderId="79" xfId="0" applyFont="1" applyFill="1" applyBorder="1" applyAlignment="1" applyProtection="1">
      <alignment horizontal="center" vertical="center" wrapText="1"/>
      <protection locked="0"/>
    </xf>
    <xf numFmtId="0" fontId="4" fillId="6" borderId="80" xfId="0" applyFont="1" applyFill="1" applyBorder="1" applyAlignment="1" applyProtection="1">
      <alignment horizontal="center" vertical="center" wrapText="1"/>
      <protection locked="0"/>
    </xf>
    <xf numFmtId="0" fontId="4" fillId="6" borderId="83" xfId="0" applyFont="1" applyFill="1" applyBorder="1" applyAlignment="1" applyProtection="1">
      <alignment horizontal="center" vertical="center" wrapText="1"/>
      <protection locked="0"/>
    </xf>
    <xf numFmtId="168" fontId="6" fillId="3" borderId="0" xfId="0" applyNumberFormat="1" applyFont="1" applyFill="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4" fillId="6" borderId="48" xfId="0" applyFont="1" applyFill="1" applyBorder="1" applyAlignment="1" applyProtection="1">
      <alignment horizontal="center" vertical="center"/>
      <protection locked="0"/>
    </xf>
    <xf numFmtId="0" fontId="4" fillId="6" borderId="47" xfId="0" applyFont="1" applyFill="1" applyBorder="1" applyAlignment="1" applyProtection="1">
      <alignment horizontal="center" vertical="top"/>
      <protection locked="0"/>
    </xf>
    <xf numFmtId="0" fontId="4" fillId="6" borderId="30" xfId="0" applyFont="1" applyFill="1" applyBorder="1" applyAlignment="1" applyProtection="1">
      <alignment horizontal="center" vertical="top"/>
      <protection locked="0"/>
    </xf>
    <xf numFmtId="0" fontId="4" fillId="6" borderId="48" xfId="0" applyFont="1" applyFill="1" applyBorder="1" applyAlignment="1" applyProtection="1">
      <alignment horizontal="center" vertical="top"/>
      <protection locked="0"/>
    </xf>
    <xf numFmtId="0" fontId="4" fillId="6" borderId="49" xfId="0" applyFont="1" applyFill="1" applyBorder="1" applyAlignment="1" applyProtection="1">
      <alignment horizontal="center" vertical="top"/>
      <protection locked="0"/>
    </xf>
    <xf numFmtId="0" fontId="4" fillId="6" borderId="50" xfId="0" applyFont="1" applyFill="1" applyBorder="1" applyAlignment="1" applyProtection="1">
      <alignment horizontal="center" vertical="top"/>
      <protection locked="0"/>
    </xf>
    <xf numFmtId="0" fontId="4" fillId="6" borderId="51" xfId="0" applyFont="1" applyFill="1" applyBorder="1" applyAlignment="1" applyProtection="1">
      <alignment horizontal="center" vertical="top"/>
      <protection locked="0"/>
    </xf>
    <xf numFmtId="164" fontId="5" fillId="2" borderId="0" xfId="2" applyNumberFormat="1" applyFont="1" applyFill="1" applyAlignment="1" applyProtection="1">
      <alignment horizontal="center" vertical="center"/>
    </xf>
    <xf numFmtId="2" fontId="6" fillId="4" borderId="0" xfId="0" applyNumberFormat="1" applyFont="1" applyFill="1" applyAlignment="1">
      <alignment horizontal="center" vertical="center"/>
    </xf>
    <xf numFmtId="164" fontId="58" fillId="2" borderId="0" xfId="2" applyNumberFormat="1" applyFont="1" applyFill="1" applyBorder="1" applyAlignment="1" applyProtection="1">
      <alignment horizontal="center" vertical="center"/>
    </xf>
    <xf numFmtId="2" fontId="6" fillId="3" borderId="0" xfId="0" applyNumberFormat="1" applyFont="1" applyFill="1" applyAlignment="1" applyProtection="1">
      <alignment horizontal="center" vertical="center"/>
      <protection locked="0"/>
    </xf>
    <xf numFmtId="164" fontId="5" fillId="4" borderId="0" xfId="2" applyNumberFormat="1" applyFont="1" applyFill="1" applyAlignment="1" applyProtection="1">
      <alignment horizontal="center" vertical="center"/>
    </xf>
    <xf numFmtId="1" fontId="4" fillId="3" borderId="0" xfId="0" applyNumberFormat="1" applyFont="1" applyFill="1" applyAlignment="1" applyProtection="1">
      <alignment horizontal="right" vertical="center"/>
      <protection locked="0"/>
    </xf>
    <xf numFmtId="0" fontId="100" fillId="2" borderId="59" xfId="0" applyFont="1" applyFill="1" applyBorder="1" applyAlignment="1">
      <alignment horizontal="left" vertical="top" wrapText="1"/>
    </xf>
    <xf numFmtId="0" fontId="100" fillId="2" borderId="0" xfId="0" applyFont="1" applyFill="1" applyAlignment="1">
      <alignment horizontal="left" vertical="top" wrapText="1"/>
    </xf>
    <xf numFmtId="0" fontId="129" fillId="2" borderId="0" xfId="0" applyFont="1" applyFill="1" applyAlignment="1">
      <alignment horizontal="left" vertical="center" wrapText="1"/>
    </xf>
    <xf numFmtId="43" fontId="7" fillId="4" borderId="0" xfId="2" applyFont="1" applyFill="1" applyBorder="1" applyAlignment="1" applyProtection="1">
      <alignment horizontal="right" vertical="center" wrapText="1"/>
    </xf>
    <xf numFmtId="0" fontId="78" fillId="2" borderId="0" xfId="0" applyFont="1" applyFill="1" applyAlignment="1">
      <alignment horizontal="left" vertical="center" wrapText="1"/>
    </xf>
    <xf numFmtId="0" fontId="9" fillId="2" borderId="22" xfId="0" applyFont="1" applyFill="1" applyBorder="1" applyAlignment="1">
      <alignment horizontal="left" vertical="center"/>
    </xf>
    <xf numFmtId="0" fontId="5" fillId="2" borderId="0" xfId="0" applyFont="1" applyFill="1" applyAlignment="1">
      <alignment wrapText="1"/>
    </xf>
    <xf numFmtId="0" fontId="4" fillId="2" borderId="22" xfId="0" applyFont="1" applyFill="1" applyBorder="1" applyAlignment="1">
      <alignment horizontal="left" vertical="center" wrapText="1"/>
    </xf>
    <xf numFmtId="0" fontId="4" fillId="2" borderId="22" xfId="0" applyFont="1" applyFill="1" applyBorder="1" applyAlignment="1">
      <alignment horizontal="left" vertical="center"/>
    </xf>
    <xf numFmtId="0" fontId="101" fillId="2" borderId="54" xfId="0" applyFont="1" applyFill="1" applyBorder="1" applyAlignment="1">
      <alignment horizontal="left" vertical="center" wrapText="1"/>
    </xf>
    <xf numFmtId="0" fontId="45" fillId="2" borderId="54" xfId="0" applyFont="1" applyFill="1" applyBorder="1" applyAlignment="1">
      <alignment horizontal="left" vertical="center" wrapText="1"/>
    </xf>
    <xf numFmtId="0" fontId="45" fillId="2" borderId="1" xfId="0" applyFont="1" applyFill="1" applyBorder="1" applyAlignment="1">
      <alignment horizontal="left" vertical="center" wrapText="1"/>
    </xf>
    <xf numFmtId="1" fontId="4" fillId="2" borderId="15" xfId="0" applyNumberFormat="1" applyFont="1" applyFill="1" applyBorder="1" applyAlignment="1">
      <alignment horizontal="left" vertical="center"/>
    </xf>
    <xf numFmtId="168" fontId="57" fillId="3" borderId="0" xfId="0" applyNumberFormat="1" applyFont="1" applyFill="1" applyAlignment="1" applyProtection="1">
      <alignment horizontal="center" vertical="center"/>
      <protection locked="0"/>
    </xf>
    <xf numFmtId="1" fontId="4" fillId="2" borderId="0" xfId="0" applyNumberFormat="1" applyFont="1" applyFill="1" applyAlignment="1">
      <alignment horizontal="center" vertical="center"/>
    </xf>
    <xf numFmtId="3" fontId="17" fillId="3" borderId="0" xfId="0" applyNumberFormat="1" applyFont="1" applyFill="1" applyAlignment="1" applyProtection="1">
      <alignment horizontal="center" vertical="center" wrapText="1"/>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165" fontId="19" fillId="2" borderId="0" xfId="0" applyNumberFormat="1" applyFont="1" applyFill="1" applyAlignment="1">
      <alignment horizontal="center" vertical="center" wrapText="1"/>
    </xf>
    <xf numFmtId="0" fontId="19" fillId="2" borderId="0" xfId="0" applyFont="1" applyFill="1" applyAlignment="1">
      <alignment horizontal="left" vertical="center" wrapText="1"/>
    </xf>
    <xf numFmtId="3" fontId="56" fillId="4" borderId="0" xfId="0" applyNumberFormat="1" applyFont="1" applyFill="1" applyAlignment="1">
      <alignment horizontal="center" vertical="center" wrapText="1"/>
    </xf>
    <xf numFmtId="0" fontId="56" fillId="4" borderId="0" xfId="0" applyFont="1" applyFill="1" applyAlignment="1">
      <alignment horizontal="center" vertical="center" wrapText="1"/>
    </xf>
    <xf numFmtId="3" fontId="58" fillId="3" borderId="0" xfId="0" applyNumberFormat="1" applyFont="1" applyFill="1" applyAlignment="1" applyProtection="1">
      <alignment horizontal="center" vertical="center" wrapText="1"/>
      <protection locked="0"/>
    </xf>
    <xf numFmtId="165" fontId="56" fillId="2" borderId="0" xfId="0" applyNumberFormat="1" applyFont="1" applyFill="1" applyAlignment="1">
      <alignment horizontal="center" vertical="center" wrapText="1"/>
    </xf>
    <xf numFmtId="0" fontId="56" fillId="2" borderId="0" xfId="0" applyFont="1" applyFill="1" applyAlignment="1">
      <alignment horizontal="left" vertical="center" wrapText="1"/>
    </xf>
    <xf numFmtId="1" fontId="94" fillId="2" borderId="0" xfId="0" applyNumberFormat="1" applyFont="1" applyFill="1" applyAlignment="1">
      <alignment horizontal="right" vertical="top" wrapText="1"/>
    </xf>
    <xf numFmtId="0" fontId="35" fillId="2" borderId="0" xfId="0" applyFont="1" applyFill="1" applyAlignment="1">
      <alignment horizontal="center" vertical="center"/>
    </xf>
    <xf numFmtId="3" fontId="56" fillId="3" borderId="0" xfId="0" applyNumberFormat="1" applyFont="1" applyFill="1" applyAlignment="1" applyProtection="1">
      <alignment horizontal="center" vertical="center" wrapText="1"/>
      <protection locked="0"/>
    </xf>
    <xf numFmtId="0" fontId="56" fillId="3" borderId="0" xfId="0" applyFont="1" applyFill="1" applyAlignment="1">
      <alignment horizontal="center" vertical="center" wrapText="1"/>
    </xf>
    <xf numFmtId="0" fontId="5" fillId="3" borderId="0" xfId="0" applyFont="1" applyFill="1" applyAlignment="1" applyProtection="1">
      <alignment horizontal="right"/>
      <protection locked="0"/>
    </xf>
    <xf numFmtId="1" fontId="4" fillId="2" borderId="0" xfId="0" applyNumberFormat="1" applyFont="1" applyFill="1" applyAlignment="1">
      <alignment horizontal="right" vertical="top" wrapText="1"/>
    </xf>
    <xf numFmtId="1" fontId="35" fillId="2" borderId="8" xfId="0" applyNumberFormat="1" applyFont="1" applyFill="1" applyBorder="1" applyAlignment="1">
      <alignment horizontal="right" vertical="center" wrapText="1"/>
    </xf>
    <xf numFmtId="43" fontId="4" fillId="3" borderId="0" xfId="2" applyFont="1" applyFill="1" applyBorder="1" applyAlignment="1" applyProtection="1">
      <alignment horizontal="center" vertical="center" wrapText="1"/>
      <protection locked="0"/>
    </xf>
    <xf numFmtId="3" fontId="19" fillId="4" borderId="0" xfId="0" applyNumberFormat="1" applyFont="1" applyFill="1" applyAlignment="1">
      <alignment horizontal="center" vertical="center" wrapText="1"/>
    </xf>
    <xf numFmtId="0" fontId="58" fillId="2" borderId="33" xfId="0" applyFont="1" applyFill="1" applyBorder="1" applyAlignment="1">
      <alignment horizontal="left" vertical="center"/>
    </xf>
    <xf numFmtId="0" fontId="4" fillId="3" borderId="0" xfId="0" applyFont="1" applyFill="1" applyAlignment="1" applyProtection="1">
      <alignment horizontal="right"/>
      <protection locked="0"/>
    </xf>
    <xf numFmtId="1" fontId="68" fillId="2" borderId="0" xfId="0" applyNumberFormat="1" applyFont="1" applyFill="1" applyAlignment="1">
      <alignment horizontal="right" vertical="top" wrapText="1"/>
    </xf>
    <xf numFmtId="3" fontId="4" fillId="2" borderId="0" xfId="0" applyNumberFormat="1" applyFont="1" applyFill="1" applyAlignment="1">
      <alignment horizontal="center" vertical="center"/>
    </xf>
    <xf numFmtId="3" fontId="56" fillId="4" borderId="0" xfId="0" applyNumberFormat="1" applyFont="1" applyFill="1" applyAlignment="1">
      <alignment horizontal="center" vertical="center"/>
    </xf>
    <xf numFmtId="0" fontId="4" fillId="3" borderId="29" xfId="0" applyFont="1" applyFill="1" applyBorder="1" applyAlignment="1" applyProtection="1">
      <alignment horizontal="center" vertical="center"/>
      <protection locked="0"/>
    </xf>
    <xf numFmtId="164" fontId="4" fillId="2" borderId="31" xfId="2" applyNumberFormat="1" applyFont="1" applyFill="1" applyBorder="1" applyAlignment="1" applyProtection="1">
      <alignment horizontal="center" vertical="center"/>
    </xf>
    <xf numFmtId="0" fontId="4" fillId="3" borderId="31" xfId="0" applyFont="1" applyFill="1" applyBorder="1" applyAlignment="1" applyProtection="1">
      <alignment horizontal="center" vertical="center"/>
      <protection locked="0"/>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32" xfId="0" applyFont="1" applyFill="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9" fillId="7"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10" fillId="2" borderId="0" xfId="0" applyFont="1" applyFill="1" applyAlignment="1">
      <alignment horizontal="left" vertical="center" wrapText="1"/>
    </xf>
    <xf numFmtId="164" fontId="4" fillId="3" borderId="40" xfId="2" applyNumberFormat="1" applyFont="1" applyFill="1" applyBorder="1" applyAlignment="1" applyProtection="1">
      <alignment horizontal="center" vertical="center"/>
      <protection locked="0"/>
    </xf>
    <xf numFmtId="164" fontId="4" fillId="3" borderId="41" xfId="2" applyNumberFormat="1" applyFont="1" applyFill="1" applyBorder="1" applyAlignment="1" applyProtection="1">
      <alignment horizontal="center" vertical="center"/>
      <protection locked="0"/>
    </xf>
    <xf numFmtId="164" fontId="4" fillId="3" borderId="42" xfId="2" applyNumberFormat="1" applyFont="1" applyFill="1" applyBorder="1" applyAlignment="1" applyProtection="1">
      <alignment horizontal="center" vertical="center"/>
      <protection locked="0"/>
    </xf>
    <xf numFmtId="164" fontId="4" fillId="4" borderId="37" xfId="2" applyNumberFormat="1" applyFont="1" applyFill="1" applyBorder="1" applyAlignment="1" applyProtection="1">
      <alignment horizontal="center" vertical="center"/>
    </xf>
    <xf numFmtId="164" fontId="4" fillId="4" borderId="38" xfId="2" applyNumberFormat="1" applyFont="1" applyFill="1" applyBorder="1" applyAlignment="1" applyProtection="1">
      <alignment horizontal="center" vertical="center"/>
    </xf>
    <xf numFmtId="164" fontId="4" fillId="4" borderId="39" xfId="2" applyNumberFormat="1" applyFont="1" applyFill="1" applyBorder="1" applyAlignment="1" applyProtection="1">
      <alignment horizontal="center" vertical="center"/>
    </xf>
    <xf numFmtId="3" fontId="7" fillId="4" borderId="0" xfId="0" applyNumberFormat="1" applyFont="1" applyFill="1" applyAlignment="1">
      <alignment horizontal="right" vertical="center"/>
    </xf>
    <xf numFmtId="0" fontId="13" fillId="3" borderId="6" xfId="0" applyFont="1" applyFill="1" applyBorder="1" applyAlignment="1">
      <alignment horizontal="center" vertical="center"/>
    </xf>
    <xf numFmtId="0" fontId="13" fillId="3" borderId="0" xfId="0" applyFont="1" applyFill="1" applyAlignment="1">
      <alignment horizontal="center" vertical="center"/>
    </xf>
    <xf numFmtId="0" fontId="13" fillId="6" borderId="20" xfId="0" applyFont="1" applyFill="1" applyBorder="1" applyAlignment="1">
      <alignment horizontal="center" wrapText="1"/>
    </xf>
    <xf numFmtId="0" fontId="13" fillId="6" borderId="25" xfId="0" applyFont="1" applyFill="1" applyBorder="1" applyAlignment="1">
      <alignment horizontal="center" wrapText="1"/>
    </xf>
    <xf numFmtId="0" fontId="13" fillId="6" borderId="21" xfId="0" applyFont="1" applyFill="1" applyBorder="1" applyAlignment="1">
      <alignment horizontal="center" wrapText="1"/>
    </xf>
    <xf numFmtId="0" fontId="13" fillId="6" borderId="6" xfId="0" applyFont="1" applyFill="1" applyBorder="1" applyAlignment="1">
      <alignment horizontal="center" wrapText="1"/>
    </xf>
    <xf numFmtId="0" fontId="13" fillId="6" borderId="0" xfId="0" applyFont="1" applyFill="1" applyAlignment="1">
      <alignment horizontal="center" wrapText="1"/>
    </xf>
    <xf numFmtId="0" fontId="13" fillId="6" borderId="22" xfId="0" applyFont="1" applyFill="1" applyBorder="1" applyAlignment="1">
      <alignment horizontal="center" wrapText="1"/>
    </xf>
    <xf numFmtId="0" fontId="7" fillId="2" borderId="0" xfId="0" applyFont="1" applyFill="1" applyAlignment="1">
      <alignment horizontal="center" vertical="center"/>
    </xf>
    <xf numFmtId="3" fontId="19" fillId="3" borderId="0" xfId="0" applyNumberFormat="1" applyFont="1" applyFill="1" applyAlignment="1" applyProtection="1">
      <alignment horizontal="center" vertical="center" wrapText="1"/>
      <protection locked="0"/>
    </xf>
    <xf numFmtId="0" fontId="4" fillId="2" borderId="60" xfId="0" applyFont="1" applyFill="1" applyBorder="1" applyAlignment="1">
      <alignment horizontal="left" vertical="center"/>
    </xf>
    <xf numFmtId="0" fontId="4" fillId="2" borderId="11" xfId="0" applyFont="1" applyFill="1" applyBorder="1" applyAlignment="1">
      <alignment horizontal="left" vertical="center"/>
    </xf>
    <xf numFmtId="0" fontId="4" fillId="2" borderId="61" xfId="0" applyFont="1" applyFill="1" applyBorder="1" applyAlignment="1">
      <alignment horizontal="left" vertical="center"/>
    </xf>
    <xf numFmtId="0" fontId="4" fillId="5" borderId="44"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46"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7" fillId="2" borderId="25" xfId="0" applyFont="1" applyFill="1" applyBorder="1" applyAlignment="1">
      <alignment horizontal="center" vertical="center"/>
    </xf>
    <xf numFmtId="3" fontId="4" fillId="4" borderId="18" xfId="0" applyNumberFormat="1" applyFont="1" applyFill="1" applyBorder="1" applyAlignment="1">
      <alignment horizontal="right" vertical="center"/>
    </xf>
    <xf numFmtId="3" fontId="4" fillId="4" borderId="26" xfId="0" applyNumberFormat="1" applyFont="1" applyFill="1" applyBorder="1" applyAlignment="1">
      <alignment horizontal="right" vertical="center"/>
    </xf>
    <xf numFmtId="0" fontId="4" fillId="4" borderId="26" xfId="0" applyFont="1" applyFill="1" applyBorder="1" applyAlignment="1">
      <alignment horizontal="center" vertical="center"/>
    </xf>
    <xf numFmtId="0" fontId="4" fillId="4" borderId="19" xfId="0" applyFont="1" applyFill="1" applyBorder="1" applyAlignment="1">
      <alignment horizontal="center" vertical="center"/>
    </xf>
    <xf numFmtId="3" fontId="4" fillId="4" borderId="26" xfId="0" applyNumberFormat="1" applyFont="1" applyFill="1" applyBorder="1" applyAlignment="1">
      <alignment horizontal="center" vertical="center"/>
    </xf>
    <xf numFmtId="3" fontId="4" fillId="4" borderId="19" xfId="0" applyNumberFormat="1" applyFont="1" applyFill="1" applyBorder="1" applyAlignment="1">
      <alignment horizontal="center" vertical="center"/>
    </xf>
    <xf numFmtId="164" fontId="4" fillId="4" borderId="18"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center" vertical="center"/>
    </xf>
    <xf numFmtId="164" fontId="4" fillId="4" borderId="26"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right" vertical="center"/>
    </xf>
    <xf numFmtId="164" fontId="4" fillId="4" borderId="19" xfId="2" applyNumberFormat="1" applyFont="1" applyFill="1" applyBorder="1" applyAlignment="1" applyProtection="1">
      <alignment horizontal="center" vertical="center"/>
    </xf>
    <xf numFmtId="0" fontId="7" fillId="2" borderId="18" xfId="0" applyFont="1" applyFill="1" applyBorder="1" applyAlignment="1">
      <alignment horizontal="center" vertical="top"/>
    </xf>
    <xf numFmtId="0" fontId="7" fillId="2" borderId="26" xfId="0" applyFont="1" applyFill="1" applyBorder="1" applyAlignment="1">
      <alignment horizontal="center" vertical="top"/>
    </xf>
    <xf numFmtId="0" fontId="7" fillId="2" borderId="19" xfId="0" applyFont="1" applyFill="1" applyBorder="1" applyAlignment="1">
      <alignment horizontal="center" vertical="top"/>
    </xf>
    <xf numFmtId="0" fontId="4" fillId="2" borderId="6" xfId="0" applyFont="1" applyFill="1" applyBorder="1" applyAlignment="1">
      <alignment horizontal="center" vertical="top"/>
    </xf>
    <xf numFmtId="0" fontId="4" fillId="2" borderId="0" xfId="0" applyFont="1" applyFill="1" applyAlignment="1">
      <alignment horizontal="center" vertical="top"/>
    </xf>
    <xf numFmtId="0" fontId="4" fillId="2" borderId="22" xfId="0" applyFont="1" applyFill="1" applyBorder="1" applyAlignment="1">
      <alignment horizontal="center" vertical="top"/>
    </xf>
    <xf numFmtId="0" fontId="4" fillId="2" borderId="23" xfId="0" applyFont="1" applyFill="1" applyBorder="1" applyAlignment="1">
      <alignment horizontal="center" vertical="top"/>
    </xf>
    <xf numFmtId="0" fontId="4" fillId="2" borderId="3" xfId="0" applyFont="1" applyFill="1" applyBorder="1" applyAlignment="1">
      <alignment horizontal="center" vertical="top"/>
    </xf>
    <xf numFmtId="0" fontId="4" fillId="2" borderId="24" xfId="0" applyFont="1" applyFill="1" applyBorder="1" applyAlignment="1">
      <alignment horizontal="center" vertical="top"/>
    </xf>
    <xf numFmtId="0" fontId="4" fillId="2" borderId="20"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2" xfId="0" applyFont="1" applyFill="1" applyBorder="1" applyAlignment="1">
      <alignment horizontal="center" vertical="top" wrapText="1"/>
    </xf>
  </cellXfs>
  <cellStyles count="6">
    <cellStyle name="Lien hypertexte" xfId="1" builtinId="8"/>
    <cellStyle name="Lien hypertexte 2" xfId="5" xr:uid="{03F9FD32-1AAC-4DA6-91BD-3E2A2B12CA0C}"/>
    <cellStyle name="Milliers" xfId="2" builtinId="3"/>
    <cellStyle name="Normal" xfId="0" builtinId="0"/>
    <cellStyle name="Normal 2" xfId="4" xr:uid="{2F7799F3-F861-400D-9F11-198D0D2B1B49}"/>
    <cellStyle name="Pourcentage" xfId="3" builtinId="5"/>
  </cellStyles>
  <dxfs count="300">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ill>
        <patternFill>
          <bgColor theme="6" tint="0.59996337778862885"/>
        </patternFill>
      </fill>
    </dxf>
    <dxf>
      <fill>
        <patternFill>
          <bgColor theme="5"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9" tint="0.79998168889431442"/>
      </font>
    </dxf>
    <dxf>
      <font>
        <color theme="9" tint="0.79998168889431442"/>
      </font>
    </dxf>
    <dxf>
      <font>
        <color theme="9" tint="0.79998168889431442"/>
      </font>
    </dxf>
    <dxf>
      <font>
        <color theme="9" tint="0.79998168889431442"/>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tint="-0.24994659260841701"/>
      </font>
    </dxf>
    <dxf>
      <font>
        <color theme="9" tint="0.79998168889431442"/>
      </font>
    </dxf>
    <dxf>
      <font>
        <color theme="0"/>
      </font>
    </dxf>
    <dxf>
      <fill>
        <patternFill>
          <bgColor theme="5" tint="0.59996337778862885"/>
        </patternFill>
      </fill>
    </dxf>
    <dxf>
      <fill>
        <patternFill>
          <bgColor theme="6" tint="0.59996337778862885"/>
        </patternFill>
      </fill>
    </dxf>
    <dxf>
      <font>
        <color theme="0"/>
      </font>
    </dxf>
    <dxf>
      <font>
        <color theme="0" tint="-0.24994659260841701"/>
      </font>
    </dxf>
    <dxf>
      <font>
        <color theme="0" tint="-0.499984740745262"/>
      </font>
    </dxf>
    <dxf>
      <font>
        <b val="0"/>
        <i/>
        <color theme="9"/>
      </font>
    </dxf>
    <dxf>
      <font>
        <color theme="0"/>
      </font>
    </dxf>
    <dxf>
      <font>
        <b val="0"/>
        <i/>
        <color theme="9"/>
      </font>
    </dxf>
    <dxf>
      <font>
        <color theme="0" tint="-0.24994659260841701"/>
      </font>
    </dxf>
    <dxf>
      <font>
        <b val="0"/>
        <i/>
        <color theme="9"/>
      </font>
    </dxf>
    <dxf>
      <font>
        <color rgb="FF00B050"/>
      </font>
    </dxf>
    <dxf>
      <font>
        <color theme="0" tint="-0.499984740745262"/>
      </font>
    </dxf>
    <dxf>
      <font>
        <color rgb="FF00B050"/>
      </font>
      <fill>
        <patternFill>
          <bgColor theme="6" tint="0.59996337778862885"/>
        </patternFill>
      </fill>
    </dxf>
    <dxf>
      <font>
        <color rgb="FFFF0000"/>
      </font>
      <fill>
        <patternFill>
          <bgColor theme="5" tint="0.59996337778862885"/>
        </patternFill>
      </fill>
    </dxf>
    <dxf>
      <font>
        <color theme="0" tint="-0.499984740745262"/>
      </font>
    </dxf>
    <dxf>
      <font>
        <color theme="0" tint="-0.499984740745262"/>
      </font>
    </dxf>
    <dxf>
      <font>
        <color theme="0" tint="-0.34998626667073579"/>
      </font>
    </dxf>
    <dxf>
      <font>
        <color theme="0" tint="-0.34998626667073579"/>
      </font>
    </dxf>
    <dxf>
      <font>
        <b val="0"/>
        <i val="0"/>
        <color theme="9"/>
      </font>
    </dxf>
    <dxf>
      <font>
        <b val="0"/>
        <i/>
        <color theme="0" tint="-0.499984740745262"/>
      </font>
    </dxf>
    <dxf>
      <font>
        <color theme="0" tint="-0.34998626667073579"/>
      </font>
    </dxf>
    <dxf>
      <font>
        <b val="0"/>
        <i val="0"/>
        <color theme="9"/>
      </font>
    </dxf>
    <dxf>
      <font>
        <b val="0"/>
        <i/>
        <color theme="9"/>
      </font>
    </dxf>
    <dxf>
      <font>
        <b val="0"/>
        <i val="0"/>
        <color theme="9"/>
      </font>
    </dxf>
    <dxf>
      <font>
        <b/>
        <i val="0"/>
        <color theme="9"/>
      </font>
    </dxf>
    <dxf>
      <font>
        <b/>
        <i val="0"/>
        <color theme="9"/>
      </font>
    </dxf>
    <dxf>
      <font>
        <color theme="0" tint="-0.499984740745262"/>
      </font>
    </dxf>
    <dxf>
      <font>
        <color theme="0" tint="-0.499984740745262"/>
      </font>
    </dxf>
    <dxf>
      <font>
        <color theme="0"/>
      </font>
    </dxf>
    <dxf>
      <font>
        <color theme="9" tint="0.79998168889431442"/>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theme="0"/>
      </font>
      <fill>
        <patternFill>
          <bgColor theme="0"/>
        </patternFill>
      </fill>
      <border>
        <left/>
        <right/>
        <top/>
        <bottom/>
        <vertical/>
        <horizontal/>
      </border>
    </dxf>
    <dxf>
      <font>
        <color theme="0"/>
      </font>
    </dxf>
    <dxf>
      <font>
        <color rgb="FFFF0000"/>
      </font>
    </dxf>
    <dxf>
      <font>
        <color rgb="FF00B050"/>
      </font>
    </dxf>
    <dxf>
      <font>
        <b val="0"/>
        <i/>
        <color theme="9"/>
      </font>
    </dxf>
    <dxf>
      <font>
        <color theme="0"/>
      </font>
    </dxf>
    <dxf>
      <font>
        <color rgb="FF00B050"/>
      </font>
    </dxf>
    <dxf>
      <font>
        <color theme="0" tint="-0.499984740745262"/>
      </font>
    </dxf>
    <dxf>
      <font>
        <color theme="0" tint="-0.499984740745262"/>
      </font>
    </dxf>
    <dxf>
      <fill>
        <patternFill>
          <bgColor theme="5" tint="0.59996337778862885"/>
        </patternFill>
      </fill>
    </dxf>
    <dxf>
      <font>
        <color theme="0" tint="-0.499984740745262"/>
      </font>
    </dxf>
    <dxf>
      <font>
        <color theme="0" tint="-0.34998626667073579"/>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font>
      <fill>
        <patternFill>
          <bgColor theme="0"/>
        </patternFill>
      </fill>
    </dxf>
    <dxf>
      <font>
        <color theme="0" tint="-0.24994659260841701"/>
      </font>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color theme="0" tint="-0.24994659260841701"/>
      </font>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rgb="FFFF0000"/>
      </font>
    </dxf>
    <dxf>
      <font>
        <b val="0"/>
        <i val="0"/>
        <color rgb="FFFF0000"/>
      </font>
    </dxf>
    <dxf>
      <font>
        <b val="0"/>
        <i val="0"/>
        <color rgb="FF00B050"/>
      </font>
    </dxf>
    <dxf>
      <font>
        <color theme="0" tint="-0.24994659260841701"/>
      </font>
    </dxf>
    <dxf>
      <font>
        <color theme="0" tint="-0.24994659260841701"/>
      </font>
    </dxf>
    <dxf>
      <font>
        <b val="0"/>
        <i val="0"/>
        <color rgb="FF00B050"/>
      </font>
    </dxf>
    <dxf>
      <font>
        <b val="0"/>
        <i val="0"/>
        <color rgb="FFFF0000"/>
      </font>
    </dxf>
    <dxf>
      <font>
        <color theme="0"/>
      </font>
    </dxf>
    <dxf>
      <font>
        <color rgb="FFFF0000"/>
      </font>
    </dxf>
    <dxf>
      <font>
        <color theme="0" tint="-0.24994659260841701"/>
      </font>
    </dxf>
    <dxf>
      <font>
        <color theme="0" tint="-0.24994659260841701"/>
      </font>
    </dxf>
    <dxf>
      <font>
        <color theme="0" tint="-0.34998626667073579"/>
      </font>
    </dxf>
    <dxf>
      <font>
        <color theme="0"/>
      </font>
    </dxf>
    <dxf>
      <font>
        <b val="0"/>
        <i val="0"/>
        <color rgb="FFFF0000"/>
      </font>
    </dxf>
    <dxf>
      <font>
        <b val="0"/>
        <i val="0"/>
        <color rgb="FF00B050"/>
      </font>
    </dxf>
    <dxf>
      <font>
        <b val="0"/>
        <i val="0"/>
        <color rgb="FF00B050"/>
      </font>
    </dxf>
    <dxf>
      <font>
        <color theme="0"/>
      </font>
    </dxf>
    <dxf>
      <font>
        <b val="0"/>
        <i val="0"/>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color theme="0" tint="-0.24994659260841701"/>
      </font>
    </dxf>
    <dxf>
      <font>
        <b val="0"/>
        <i/>
        <color theme="9"/>
      </font>
    </dxf>
    <dxf>
      <font>
        <color theme="0"/>
      </font>
    </dxf>
    <dxf>
      <font>
        <color theme="0" tint="-0.24994659260841701"/>
      </font>
    </dxf>
    <dxf>
      <font>
        <color theme="0"/>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1"/>
      </font>
      <fill>
        <patternFill patternType="gray125">
          <bgColor rgb="FFFFCC66"/>
        </patternFill>
      </fill>
    </dxf>
    <dxf>
      <font>
        <color auto="1"/>
      </font>
      <fill>
        <patternFill patternType="gray125">
          <bgColor rgb="FFFFCC66"/>
        </patternFill>
      </fill>
    </dxf>
    <dxf>
      <font>
        <color rgb="FFFF0000"/>
      </font>
      <fill>
        <gradientFill type="path" left="0.5" right="0.5" top="0.5" bottom="0.5">
          <stop position="0">
            <color theme="0"/>
          </stop>
          <stop position="1">
            <color rgb="FFFFA3A3"/>
          </stop>
        </gradient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auto="1"/>
      </font>
      <fill>
        <patternFill>
          <bgColor rgb="FFFFFFCC"/>
        </patternFill>
      </fill>
    </dxf>
    <dxf>
      <font>
        <color theme="0" tint="-0.24994659260841701"/>
      </font>
    </dxf>
    <dxf>
      <font>
        <color theme="0" tint="-0.34998626667073579"/>
      </font>
    </dxf>
    <dxf>
      <font>
        <color theme="0"/>
      </font>
      <fill>
        <patternFill>
          <bgColor theme="0"/>
        </patternFill>
      </fill>
    </dxf>
    <dxf>
      <font>
        <color theme="0" tint="-0.24994659260841701"/>
      </font>
    </dxf>
    <dxf>
      <font>
        <color theme="0"/>
      </font>
      <fill>
        <patternFill>
          <bgColor theme="0"/>
        </patternFill>
      </fill>
    </dxf>
    <dxf>
      <font>
        <color theme="0" tint="-0.24994659260841701"/>
      </font>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34998626667073579"/>
      </font>
      <fill>
        <patternFill>
          <bgColor theme="6" tint="0.79998168889431442"/>
        </patternFill>
      </fill>
    </dxf>
    <dxf>
      <font>
        <color theme="0"/>
      </font>
      <fill>
        <patternFill>
          <bgColor theme="0"/>
        </patternFill>
      </fill>
      <border>
        <vertical/>
        <horizontal/>
      </border>
    </dxf>
    <dxf>
      <font>
        <b/>
        <i val="0"/>
        <color rgb="FFFF0000"/>
      </font>
      <fill>
        <patternFill>
          <bgColor theme="5" tint="0.59996337778862885"/>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vertical/>
        <horizontal/>
      </border>
    </dxf>
    <dxf>
      <font>
        <color rgb="FF00B050"/>
      </font>
      <fill>
        <gradientFill type="path" left="0.5" right="0.5" top="0.5" bottom="0.5">
          <stop position="0">
            <color theme="0"/>
          </stop>
          <stop position="1">
            <color rgb="FF93D983"/>
          </stop>
        </gradientFill>
      </fill>
    </dxf>
    <dxf>
      <font>
        <color rgb="FFFF0000"/>
      </font>
      <fill>
        <gradientFill type="path" left="0.5" right="0.5" top="0.5" bottom="0.5">
          <stop position="0">
            <color theme="0"/>
          </stop>
          <stop position="1">
            <color rgb="FFFFA3A3"/>
          </stop>
        </gradientFill>
      </fill>
    </dxf>
    <dxf>
      <font>
        <color auto="1"/>
      </font>
      <fill>
        <patternFill patternType="gray125">
          <bgColor rgb="FFFFCC66"/>
        </patternFill>
      </fill>
    </dxf>
    <dxf>
      <font>
        <color theme="0" tint="-0.24994659260841701"/>
      </font>
    </dxf>
    <dxf>
      <font>
        <color theme="0" tint="-0.34998626667073579"/>
      </font>
      <fill>
        <patternFill>
          <bgColor theme="6" tint="0.79998168889431442"/>
        </patternFill>
      </fill>
    </dxf>
    <dxf>
      <font>
        <color theme="0" tint="-0.24994659260841701"/>
      </font>
    </dxf>
    <dxf>
      <font>
        <color theme="0" tint="-0.34998626667073579"/>
      </font>
    </dxf>
    <dxf>
      <font>
        <color theme="0" tint="-0.24994659260841701"/>
      </font>
    </dxf>
    <dxf>
      <font>
        <color theme="0" tint="-0.24994659260841701"/>
      </font>
    </dxf>
    <dxf>
      <font>
        <b val="0"/>
        <i val="0"/>
        <color theme="9"/>
      </font>
    </dxf>
    <dxf>
      <font>
        <color theme="0" tint="-0.34998626667073579"/>
      </font>
    </dxf>
    <dxf>
      <font>
        <b val="0"/>
        <i/>
        <color theme="0" tint="-0.24994659260841701"/>
      </font>
    </dxf>
    <dxf>
      <font>
        <color theme="0" tint="-0.24994659260841701"/>
      </font>
    </dxf>
    <dxf>
      <font>
        <color theme="0"/>
      </font>
      <fill>
        <patternFill>
          <bgColor theme="0"/>
        </patternFill>
      </fill>
    </dxf>
    <dxf>
      <font>
        <color theme="0"/>
      </font>
      <fill>
        <patternFill>
          <bgColor theme="0"/>
        </patternFill>
      </fill>
    </dxf>
    <dxf>
      <font>
        <b val="0"/>
        <i/>
        <color theme="9"/>
      </font>
    </dxf>
    <dxf>
      <font>
        <b val="0"/>
        <i val="0"/>
        <color theme="9"/>
      </font>
    </dxf>
    <dxf>
      <font>
        <b/>
        <i val="0"/>
        <color theme="9"/>
      </font>
    </dxf>
    <dxf>
      <font>
        <b/>
        <i val="0"/>
        <color theme="9"/>
      </font>
    </dxf>
    <dxf>
      <font>
        <color theme="0"/>
      </font>
    </dxf>
    <dxf>
      <font>
        <color theme="0" tint="-0.24994659260841701"/>
      </font>
    </dxf>
    <dxf>
      <font>
        <color theme="0" tint="-0.24994659260841701"/>
      </font>
    </dxf>
    <dxf>
      <font>
        <color theme="0" tint="-0.24994659260841701"/>
      </font>
    </dxf>
    <dxf>
      <font>
        <color theme="0" tint="-0.34998626667073579"/>
      </font>
      <fill>
        <patternFill>
          <bgColor theme="0"/>
        </patternFill>
      </fill>
    </dxf>
    <dxf>
      <font>
        <color theme="9" tint="0.79998168889431442"/>
      </font>
    </dxf>
    <dxf>
      <font>
        <color theme="9" tint="0.79998168889431442"/>
      </font>
    </dxf>
    <dxf>
      <font>
        <color theme="9" tint="0.79998168889431442"/>
      </font>
    </dxf>
    <dxf>
      <font>
        <color theme="0" tint="-0.24994659260841701"/>
      </font>
    </dxf>
    <dxf>
      <font>
        <color rgb="FFFF0000"/>
      </font>
    </dxf>
    <dxf>
      <font>
        <b val="0"/>
        <i val="0"/>
        <color rgb="FFFF0000"/>
      </font>
    </dxf>
    <dxf>
      <font>
        <b val="0"/>
        <i val="0"/>
        <color rgb="FF00B050"/>
      </font>
    </dxf>
    <dxf>
      <font>
        <b val="0"/>
        <i val="0"/>
        <color rgb="FFFF0000"/>
      </font>
    </dxf>
    <dxf>
      <font>
        <b val="0"/>
        <i val="0"/>
        <color rgb="FF00B050"/>
      </font>
    </dxf>
    <dxf>
      <font>
        <color theme="0" tint="-0.24994659260841701"/>
      </font>
    </dxf>
    <dxf>
      <font>
        <color theme="0"/>
      </font>
    </dxf>
    <dxf>
      <font>
        <b val="0"/>
        <i val="0"/>
        <color rgb="FF00B050"/>
      </font>
    </dxf>
    <dxf>
      <font>
        <b val="0"/>
        <i val="0"/>
        <color rgb="FFFF0000"/>
      </font>
    </dxf>
    <dxf>
      <font>
        <color theme="0"/>
      </font>
    </dxf>
    <dxf>
      <font>
        <b val="0"/>
        <i val="0"/>
        <color rgb="FFFF0000"/>
      </font>
    </dxf>
    <dxf>
      <font>
        <b val="0"/>
        <i val="0"/>
        <color rgb="FF00B050"/>
      </font>
    </dxf>
    <dxf>
      <font>
        <b val="0"/>
        <i val="0"/>
        <color rgb="FFFF0000"/>
      </font>
    </dxf>
    <dxf>
      <font>
        <b val="0"/>
        <i val="0"/>
        <color rgb="FF00B050"/>
      </font>
    </dxf>
    <dxf>
      <font>
        <color theme="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34998626667073579"/>
      </font>
      <fill>
        <patternFill>
          <bgColor theme="0"/>
        </patternFill>
      </fill>
    </dxf>
    <dxf>
      <font>
        <color theme="0" tint="-0.34998626667073579"/>
      </font>
      <fill>
        <patternFill>
          <bgColor theme="0"/>
        </patternFill>
      </fill>
    </dxf>
    <dxf>
      <font>
        <color theme="0"/>
      </font>
      <fill>
        <patternFill>
          <bgColor theme="0"/>
        </patternFill>
      </fill>
    </dxf>
    <dxf>
      <font>
        <b val="0"/>
        <i/>
        <color theme="9"/>
      </font>
    </dxf>
    <dxf>
      <font>
        <color theme="0"/>
      </font>
    </dxf>
    <dxf>
      <font>
        <color theme="0" tint="-0.24994659260841701"/>
      </font>
    </dxf>
    <dxf>
      <font>
        <color theme="0" tint="-0.24994659260841701"/>
      </font>
    </dxf>
    <dxf>
      <font>
        <color theme="0" tint="-0.2499465926084170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rgb="FF00B050"/>
      </font>
    </dxf>
    <dxf>
      <font>
        <color theme="0" tint="-0.34998626667073579"/>
      </font>
    </dxf>
    <dxf>
      <font>
        <color rgb="FFFF0000"/>
      </font>
      <fill>
        <gradientFill type="path" left="0.5" right="0.5" top="0.5" bottom="0.5">
          <stop position="0">
            <color theme="0"/>
          </stop>
          <stop position="1">
            <color rgb="FFFFA3A3"/>
          </stop>
        </gradientFill>
      </fill>
    </dxf>
    <dxf>
      <font>
        <color theme="1"/>
      </font>
      <fill>
        <patternFill patternType="gray125">
          <bgColor rgb="FFFFCC66"/>
        </patternFill>
      </fill>
    </dxf>
    <dxf>
      <font>
        <color auto="1"/>
      </font>
      <fill>
        <patternFill patternType="gray125">
          <bgColor rgb="FFFFCC66"/>
        </patternFill>
      </fill>
    </dxf>
    <dxf>
      <font>
        <color rgb="FF00B050"/>
      </font>
      <fill>
        <gradientFill type="path" left="0.5" right="0.5" top="0.5" bottom="0.5">
          <stop position="0">
            <color theme="0"/>
          </stop>
          <stop position="1">
            <color rgb="FF93D983"/>
          </stop>
        </gradientFill>
      </fill>
    </dxf>
    <dxf>
      <font>
        <color theme="0" tint="-0.24994659260841701"/>
      </font>
      <fill>
        <patternFill>
          <bgColor theme="0"/>
        </patternFill>
      </fill>
      <border>
        <left/>
        <right/>
        <top/>
        <bottom/>
      </border>
    </dxf>
    <dxf>
      <font>
        <color theme="0" tint="-0.24994659260841701"/>
      </font>
    </dxf>
    <dxf>
      <font>
        <color theme="0" tint="-0.24994659260841701"/>
      </font>
    </dxf>
    <dxf>
      <font>
        <color theme="0" tint="-0.24994659260841701"/>
      </font>
    </dxf>
    <dxf>
      <font>
        <color theme="0" tint="-0.24994659260841701"/>
      </font>
    </dxf>
    <dxf>
      <font>
        <color auto="1"/>
      </font>
      <fill>
        <patternFill>
          <bgColor rgb="FFFFFFCC"/>
        </patternFill>
      </fill>
    </dxf>
    <dxf>
      <font>
        <color theme="0"/>
      </font>
      <fill>
        <patternFill>
          <bgColor theme="0"/>
        </patternFill>
      </fill>
    </dxf>
    <dxf>
      <font>
        <color theme="0" tint="-0.24994659260841701"/>
      </font>
    </dxf>
    <dxf>
      <font>
        <color theme="0" tint="-0.34998626667073579"/>
      </font>
    </dxf>
    <dxf>
      <font>
        <color theme="0" tint="-0.24994659260841701"/>
      </font>
    </dxf>
    <dxf>
      <font>
        <color theme="0"/>
      </font>
      <fill>
        <patternFill>
          <bgColor theme="0"/>
        </patternFill>
      </fill>
    </dxf>
    <dxf>
      <font>
        <color theme="0" tint="-0.24994659260841701"/>
      </font>
    </dxf>
    <dxf>
      <font>
        <color theme="0" tint="-0.34998626667073579"/>
      </font>
      <fill>
        <patternFill>
          <bgColor theme="0"/>
        </patternFill>
      </fill>
      <border>
        <vertical/>
        <horizontal/>
      </border>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FFFFCC"/>
      <color rgb="FFFFCC66"/>
      <color rgb="FFFFE89F"/>
      <color rgb="FF93D983"/>
      <color rgb="FFFFA3A3"/>
      <color rgb="FFFFFF99"/>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K46" lockText="1" noThreeD="1"/>
</file>

<file path=xl/ctrlProps/ctrlProp100.xml><?xml version="1.0" encoding="utf-8"?>
<formControlPr xmlns="http://schemas.microsoft.com/office/spreadsheetml/2009/9/main" objectType="CheckBox" fmlaLink="AJ45" lockText="1" noThreeD="1"/>
</file>

<file path=xl/ctrlProps/ctrlProp101.xml><?xml version="1.0" encoding="utf-8"?>
<formControlPr xmlns="http://schemas.microsoft.com/office/spreadsheetml/2009/9/main" objectType="CheckBox" fmlaLink="AJ46" lockText="1" noThreeD="1"/>
</file>

<file path=xl/ctrlProps/ctrlProp102.xml><?xml version="1.0" encoding="utf-8"?>
<formControlPr xmlns="http://schemas.microsoft.com/office/spreadsheetml/2009/9/main" objectType="CheckBox" fmlaLink="AJ78" lockText="1" noThreeD="1"/>
</file>

<file path=xl/ctrlProps/ctrlProp103.xml><?xml version="1.0" encoding="utf-8"?>
<formControlPr xmlns="http://schemas.microsoft.com/office/spreadsheetml/2009/9/main" objectType="CheckBox" fmlaLink="AJ79" lockText="1" noThreeD="1"/>
</file>

<file path=xl/ctrlProps/ctrlProp104.xml><?xml version="1.0" encoding="utf-8"?>
<formControlPr xmlns="http://schemas.microsoft.com/office/spreadsheetml/2009/9/main" objectType="CheckBox" fmlaLink="AJ9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K19" lockText="1" noThreeD="1"/>
</file>

<file path=xl/ctrlProps/ctrlProp109.xml><?xml version="1.0" encoding="utf-8"?>
<formControlPr xmlns="http://schemas.microsoft.com/office/spreadsheetml/2009/9/main" objectType="CheckBox" fmlaLink="AJ57" lockText="1" noThreeD="1"/>
</file>

<file path=xl/ctrlProps/ctrlProp11.xml><?xml version="1.0" encoding="utf-8"?>
<formControlPr xmlns="http://schemas.microsoft.com/office/spreadsheetml/2009/9/main" objectType="CheckBox" fmlaLink="AK97" lockText="1" noThreeD="1"/>
</file>

<file path=xl/ctrlProps/ctrlProp110.xml><?xml version="1.0" encoding="utf-8"?>
<formControlPr xmlns="http://schemas.microsoft.com/office/spreadsheetml/2009/9/main" objectType="CheckBox" fmlaLink="AJ62" lockText="1" noThreeD="1"/>
</file>

<file path=xl/ctrlProps/ctrlProp111.xml><?xml version="1.0" encoding="utf-8"?>
<formControlPr xmlns="http://schemas.microsoft.com/office/spreadsheetml/2009/9/main" objectType="CheckBox" fmlaLink="AJ3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fmlaLink="$AJ$12" lockText="1" noThreeD="1"/>
</file>

<file path=xl/ctrlProps/ctrlProp115.xml><?xml version="1.0" encoding="utf-8"?>
<formControlPr xmlns="http://schemas.microsoft.com/office/spreadsheetml/2009/9/main" objectType="Radio" checked="Checked" firstButton="1" fmlaLink="$AJ$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J7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AJ$10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firstButton="1" fmlaLink="$AJ$103"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AJ154"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CheckBox" fmlaLink="AJ17" lockText="1" noThreeD="1"/>
</file>

<file path=xl/ctrlProps/ctrlProp144.xml><?xml version="1.0" encoding="utf-8"?>
<formControlPr xmlns="http://schemas.microsoft.com/office/spreadsheetml/2009/9/main" objectType="CheckBox" fmlaLink="AK17" lockText="1" noThreeD="1"/>
</file>

<file path=xl/ctrlProps/ctrlProp145.xml><?xml version="1.0" encoding="utf-8"?>
<formControlPr xmlns="http://schemas.microsoft.com/office/spreadsheetml/2009/9/main" objectType="CheckBox" checked="Checked" fmlaLink="AL17" lockText="1" noThreeD="1"/>
</file>

<file path=xl/ctrlProps/ctrlProp146.xml><?xml version="1.0" encoding="utf-8"?>
<formControlPr xmlns="http://schemas.microsoft.com/office/spreadsheetml/2009/9/main" objectType="CheckBox" fmlaLink="AJ43" lockText="1" noThreeD="1"/>
</file>

<file path=xl/ctrlProps/ctrlProp147.xml><?xml version="1.0" encoding="utf-8"?>
<formControlPr xmlns="http://schemas.microsoft.com/office/spreadsheetml/2009/9/main" objectType="CheckBox" fmlaLink="AJ44" lockText="1" noThreeD="1"/>
</file>

<file path=xl/ctrlProps/ctrlProp148.xml><?xml version="1.0" encoding="utf-8"?>
<formControlPr xmlns="http://schemas.microsoft.com/office/spreadsheetml/2009/9/main" objectType="CheckBox" fmlaLink="AJ45" lockText="1" noThreeD="1"/>
</file>

<file path=xl/ctrlProps/ctrlProp149.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K19" lockText="1" noThreeD="1"/>
</file>

<file path=xl/ctrlProps/ctrlProp150.xml><?xml version="1.0" encoding="utf-8"?>
<formControlPr xmlns="http://schemas.microsoft.com/office/spreadsheetml/2009/9/main" objectType="CheckBox" fmlaLink="AJ79" lockText="1" noThreeD="1"/>
</file>

<file path=xl/ctrlProps/ctrlProp151.xml><?xml version="1.0" encoding="utf-8"?>
<formControlPr xmlns="http://schemas.microsoft.com/office/spreadsheetml/2009/9/main" objectType="CheckBox" fmlaLink="AJ80" lockText="1" noThreeD="1"/>
</file>

<file path=xl/ctrlProps/ctrlProp152.xml><?xml version="1.0" encoding="utf-8"?>
<formControlPr xmlns="http://schemas.microsoft.com/office/spreadsheetml/2009/9/main" objectType="CheckBox" fmlaLink="AJ91"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AK19" lockText="1" noThreeD="1"/>
</file>

<file path=xl/ctrlProps/ctrlProp158.xml><?xml version="1.0" encoding="utf-8"?>
<formControlPr xmlns="http://schemas.microsoft.com/office/spreadsheetml/2009/9/main" objectType="CheckBox" fmlaLink="AJ57" lockText="1" noThreeD="1"/>
</file>

<file path=xl/ctrlProps/ctrlProp159.xml><?xml version="1.0" encoding="utf-8"?>
<formControlPr xmlns="http://schemas.microsoft.com/office/spreadsheetml/2009/9/main" objectType="CheckBox" checked="Checked" fmlaLink="AJ62" lockText="1" noThreeD="1"/>
</file>

<file path=xl/ctrlProps/ctrlProp16.xml><?xml version="1.0" encoding="utf-8"?>
<formControlPr xmlns="http://schemas.microsoft.com/office/spreadsheetml/2009/9/main" objectType="CheckBox" fmlaLink="AK58" lockText="1" noThreeD="1"/>
</file>

<file path=xl/ctrlProps/ctrlProp160.xml><?xml version="1.0" encoding="utf-8"?>
<formControlPr xmlns="http://schemas.microsoft.com/office/spreadsheetml/2009/9/main" objectType="CheckBox" fmlaLink="AJ31"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Radio" firstButton="1" fmlaLink="$AJ$12"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AJ$22"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checked="Checked" firstButton="1" fmlaLink="AJ72"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AK63"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AJ$100"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J150"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K31"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K$1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K$2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K74"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144"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K17"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fmlaLink="AL1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checked="Checked" fmlaLink="AK17" lockText="1" noThreeD="1"/>
</file>

<file path=xl/ctrlProps/ctrlProp52.xml><?xml version="1.0" encoding="utf-8"?>
<formControlPr xmlns="http://schemas.microsoft.com/office/spreadsheetml/2009/9/main" objectType="CheckBox" fmlaLink="AL17" lockText="1" noThreeD="1"/>
</file>

<file path=xl/ctrlProps/ctrlProp53.xml><?xml version="1.0" encoding="utf-8"?>
<formControlPr xmlns="http://schemas.microsoft.com/office/spreadsheetml/2009/9/main" objectType="CheckBox" fmlaLink="AM17" lockText="1" noThreeD="1"/>
</file>

<file path=xl/ctrlProps/ctrlProp54.xml><?xml version="1.0" encoding="utf-8"?>
<formControlPr xmlns="http://schemas.microsoft.com/office/spreadsheetml/2009/9/main" objectType="CheckBox" fmlaLink="AK44" lockText="1" noThreeD="1"/>
</file>

<file path=xl/ctrlProps/ctrlProp55.xml><?xml version="1.0" encoding="utf-8"?>
<formControlPr xmlns="http://schemas.microsoft.com/office/spreadsheetml/2009/9/main" objectType="CheckBox" fmlaLink="AK45" lockText="1" noThreeD="1"/>
</file>

<file path=xl/ctrlProps/ctrlProp56.xml><?xml version="1.0" encoding="utf-8"?>
<formControlPr xmlns="http://schemas.microsoft.com/office/spreadsheetml/2009/9/main" objectType="CheckBox" fmlaLink="AK46" lockText="1" noThreeD="1"/>
</file>

<file path=xl/ctrlProps/ctrlProp57.xml><?xml version="1.0" encoding="utf-8"?>
<formControlPr xmlns="http://schemas.microsoft.com/office/spreadsheetml/2009/9/main" objectType="CheckBox" fmlaLink="AK47" lockText="1" noThreeD="1"/>
</file>

<file path=xl/ctrlProps/ctrlProp58.xml><?xml version="1.0" encoding="utf-8"?>
<formControlPr xmlns="http://schemas.microsoft.com/office/spreadsheetml/2009/9/main" objectType="CheckBox" fmlaLink="AK9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M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19" lockText="1" noThreeD="1"/>
</file>

<file path=xl/ctrlProps/ctrlProp62.xml><?xml version="1.0" encoding="utf-8"?>
<formControlPr xmlns="http://schemas.microsoft.com/office/spreadsheetml/2009/9/main" objectType="CheckBox" fmlaLink="AK59" lockText="1" noThreeD="1"/>
</file>

<file path=xl/ctrlProps/ctrlProp63.xml><?xml version="1.0" encoding="utf-8"?>
<formControlPr xmlns="http://schemas.microsoft.com/office/spreadsheetml/2009/9/main" objectType="CheckBox" fmlaLink="AK64" lockText="1" noThreeD="1"/>
</file>

<file path=xl/ctrlProps/ctrlProp64.xml><?xml version="1.0" encoding="utf-8"?>
<formControlPr xmlns="http://schemas.microsoft.com/office/spreadsheetml/2009/9/main" objectType="CheckBox" fmlaLink="AK31"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firstButton="1" fmlaLink="$AK$1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AK$22" lockText="1" noThreeD="1"/>
</file>

<file path=xl/ctrlProps/ctrlProp7.xml><?xml version="1.0" encoding="utf-8"?>
<formControlPr xmlns="http://schemas.microsoft.com/office/spreadsheetml/2009/9/main" objectType="CheckBox" fmlaLink="AK43"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AK75"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J145"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K4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K4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AJ17" lockText="1" noThreeD="1"/>
</file>

<file path=xl/ctrlProps/ctrlProp96.xml><?xml version="1.0" encoding="utf-8"?>
<formControlPr xmlns="http://schemas.microsoft.com/office/spreadsheetml/2009/9/main" objectType="CheckBox" fmlaLink="AK17" lockText="1" noThreeD="1"/>
</file>

<file path=xl/ctrlProps/ctrlProp97.xml><?xml version="1.0" encoding="utf-8"?>
<formControlPr xmlns="http://schemas.microsoft.com/office/spreadsheetml/2009/9/main" objectType="CheckBox" checked="Checked" fmlaLink="AL17" lockText="1" noThreeD="1"/>
</file>

<file path=xl/ctrlProps/ctrlProp98.xml><?xml version="1.0" encoding="utf-8"?>
<formControlPr xmlns="http://schemas.microsoft.com/office/spreadsheetml/2009/9/main" objectType="CheckBox" fmlaLink="AJ43" lockText="1" noThreeD="1"/>
</file>

<file path=xl/ctrlProps/ctrlProp99.xml><?xml version="1.0" encoding="utf-8"?>
<formControlPr xmlns="http://schemas.microsoft.com/office/spreadsheetml/2009/9/main" objectType="CheckBox" fmlaLink="AJ4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0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0000000-0008-0000-0000-00000900000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16</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56" y="230258"/>
          <a:ext cx="1048578" cy="787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38100</xdr:rowOff>
        </xdr:from>
        <xdr:to>
          <xdr:col>3</xdr:col>
          <xdr:colOff>142875</xdr:colOff>
          <xdr:row>42</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28575</xdr:rowOff>
        </xdr:from>
        <xdr:to>
          <xdr:col>3</xdr:col>
          <xdr:colOff>142875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94</xdr:row>
          <xdr:rowOff>180975</xdr:rowOff>
        </xdr:from>
        <xdr:to>
          <xdr:col>19</xdr:col>
          <xdr:colOff>190500</xdr:colOff>
          <xdr:row>96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171450</xdr:rowOff>
        </xdr:from>
        <xdr:to>
          <xdr:col>2</xdr:col>
          <xdr:colOff>66675</xdr:colOff>
          <xdr:row>184</xdr:row>
          <xdr:rowOff>104775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0</xdr:rowOff>
        </xdr:from>
        <xdr:to>
          <xdr:col>2</xdr:col>
          <xdr:colOff>66675</xdr:colOff>
          <xdr:row>177</xdr:row>
          <xdr:rowOff>142875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0</xdr:rowOff>
        </xdr:from>
        <xdr:to>
          <xdr:col>2</xdr:col>
          <xdr:colOff>66675</xdr:colOff>
          <xdr:row>174</xdr:row>
          <xdr:rowOff>142875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xdr:row>
          <xdr:rowOff>66675</xdr:rowOff>
        </xdr:from>
        <xdr:to>
          <xdr:col>3</xdr:col>
          <xdr:colOff>152400</xdr:colOff>
          <xdr:row>58</xdr:row>
          <xdr:rowOff>28575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61</xdr:row>
          <xdr:rowOff>38100</xdr:rowOff>
        </xdr:from>
        <xdr:to>
          <xdr:col>3</xdr:col>
          <xdr:colOff>152400</xdr:colOff>
          <xdr:row>63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0</xdr:rowOff>
        </xdr:from>
        <xdr:to>
          <xdr:col>2</xdr:col>
          <xdr:colOff>66675</xdr:colOff>
          <xdr:row>183</xdr:row>
          <xdr:rowOff>142875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174</xdr:row>
          <xdr:rowOff>180975</xdr:rowOff>
        </xdr:from>
        <xdr:to>
          <xdr:col>2</xdr:col>
          <xdr:colOff>66675</xdr:colOff>
          <xdr:row>175</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12</xdr:col>
          <xdr:colOff>295275</xdr:colOff>
          <xdr:row>11</xdr:row>
          <xdr:rowOff>180975</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16</xdr:col>
          <xdr:colOff>0</xdr:colOff>
          <xdr:row>11</xdr:row>
          <xdr:rowOff>180975</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180975</xdr:rowOff>
        </xdr:from>
        <xdr:to>
          <xdr:col>2</xdr:col>
          <xdr:colOff>104775</xdr:colOff>
          <xdr:row>74</xdr:row>
          <xdr:rowOff>66675</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104775</xdr:colOff>
          <xdr:row>76</xdr:row>
          <xdr:rowOff>28575</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180975</xdr:rowOff>
        </xdr:from>
        <xdr:to>
          <xdr:col>2</xdr:col>
          <xdr:colOff>66675</xdr:colOff>
          <xdr:row>186</xdr:row>
          <xdr:rowOff>104775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28575</xdr:rowOff>
        </xdr:from>
        <xdr:to>
          <xdr:col>2</xdr:col>
          <xdr:colOff>38100</xdr:colOff>
          <xdr:row>142</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76200</xdr:rowOff>
        </xdr:from>
        <xdr:to>
          <xdr:col>17</xdr:col>
          <xdr:colOff>28575</xdr:colOff>
          <xdr:row>12</xdr:row>
          <xdr:rowOff>28575</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219075</xdr:rowOff>
        </xdr:from>
        <xdr:to>
          <xdr:col>2</xdr:col>
          <xdr:colOff>114300</xdr:colOff>
          <xdr:row>75</xdr:row>
          <xdr:rowOff>47625</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228600</xdr:rowOff>
        </xdr:from>
        <xdr:to>
          <xdr:col>2</xdr:col>
          <xdr:colOff>104775</xdr:colOff>
          <xdr:row>77</xdr:row>
          <xdr:rowOff>228600</xdr:rowOff>
        </xdr:to>
        <xdr:sp macro="" textlink="">
          <xdr:nvSpPr>
            <xdr:cNvPr id="6184" name="Option Button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xdr:rowOff>
        </xdr:from>
        <xdr:to>
          <xdr:col>2</xdr:col>
          <xdr:colOff>66675</xdr:colOff>
          <xdr:row>182</xdr:row>
          <xdr:rowOff>152400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171450</xdr:rowOff>
        </xdr:from>
        <xdr:to>
          <xdr:col>2</xdr:col>
          <xdr:colOff>66675</xdr:colOff>
          <xdr:row>180</xdr:row>
          <xdr:rowOff>104775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180975</xdr:rowOff>
        </xdr:from>
        <xdr:to>
          <xdr:col>2</xdr:col>
          <xdr:colOff>66675</xdr:colOff>
          <xdr:row>179</xdr:row>
          <xdr:rowOff>104775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171450</xdr:rowOff>
        </xdr:from>
        <xdr:to>
          <xdr:col>2</xdr:col>
          <xdr:colOff>66675</xdr:colOff>
          <xdr:row>181</xdr:row>
          <xdr:rowOff>114300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180975</xdr:rowOff>
        </xdr:from>
        <xdr:to>
          <xdr:col>2</xdr:col>
          <xdr:colOff>66675</xdr:colOff>
          <xdr:row>185</xdr:row>
          <xdr:rowOff>104775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142875</xdr:colOff>
          <xdr:row>78</xdr:row>
          <xdr:rowOff>219075</xdr:rowOff>
        </xdr:to>
        <xdr:sp macro="" textlink="">
          <xdr:nvSpPr>
            <xdr:cNvPr id="6274" name="Option Button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72</xdr:row>
          <xdr:rowOff>161925</xdr:rowOff>
        </xdr:from>
        <xdr:to>
          <xdr:col>3</xdr:col>
          <xdr:colOff>0</xdr:colOff>
          <xdr:row>79</xdr:row>
          <xdr:rowOff>28575</xdr:rowOff>
        </xdr:to>
        <xdr:sp macro="" textlink="">
          <xdr:nvSpPr>
            <xdr:cNvPr id="6275" name="Group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29</xdr:col>
          <xdr:colOff>219075</xdr:colOff>
          <xdr:row>22</xdr:row>
          <xdr:rowOff>28575</xdr:rowOff>
        </xdr:to>
        <xdr:sp macro="" textlink="">
          <xdr:nvSpPr>
            <xdr:cNvPr id="6280" name="Group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9525</xdr:rowOff>
        </xdr:from>
        <xdr:to>
          <xdr:col>2</xdr:col>
          <xdr:colOff>66675</xdr:colOff>
          <xdr:row>178</xdr:row>
          <xdr:rowOff>152400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0</xdr:rowOff>
        </xdr:from>
        <xdr:to>
          <xdr:col>2</xdr:col>
          <xdr:colOff>66675</xdr:colOff>
          <xdr:row>187</xdr:row>
          <xdr:rowOff>142875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161925</xdr:rowOff>
        </xdr:from>
        <xdr:to>
          <xdr:col>2</xdr:col>
          <xdr:colOff>66675</xdr:colOff>
          <xdr:row>176</xdr:row>
          <xdr:rowOff>123825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28575</xdr:rowOff>
        </xdr:from>
        <xdr:to>
          <xdr:col>2</xdr:col>
          <xdr:colOff>38100</xdr:colOff>
          <xdr:row>147</xdr:row>
          <xdr:rowOff>152400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300-000028A4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00000000-0008-0000-0400-00000500000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0000000-0008-0000-0400-00000900000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16</xdr:row>
          <xdr:rowOff>28575</xdr:rowOff>
        </xdr:from>
        <xdr:to>
          <xdr:col>2</xdr:col>
          <xdr:colOff>152400</xdr:colOff>
          <xdr:row>16</xdr:row>
          <xdr:rowOff>180975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xdr:row>
          <xdr:rowOff>28575</xdr:rowOff>
        </xdr:from>
        <xdr:to>
          <xdr:col>15</xdr:col>
          <xdr:colOff>0</xdr:colOff>
          <xdr:row>16</xdr:row>
          <xdr:rowOff>180975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217004</xdr:colOff>
      <xdr:row>1</xdr:row>
      <xdr:rowOff>24849</xdr:rowOff>
    </xdr:from>
    <xdr:to>
      <xdr:col>4</xdr:col>
      <xdr:colOff>424069</xdr:colOff>
      <xdr:row>4</xdr:row>
      <xdr:rowOff>196526</xdr:rowOff>
    </xdr:to>
    <xdr:pic>
      <xdr:nvPicPr>
        <xdr:cNvPr id="4" name="Image 3" descr="Logo Fin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76200</xdr:colOff>
          <xdr:row>16</xdr:row>
          <xdr:rowOff>0</xdr:rowOff>
        </xdr:from>
        <xdr:to>
          <xdr:col>25</xdr:col>
          <xdr:colOff>47625</xdr:colOff>
          <xdr:row>17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38100</xdr:rowOff>
        </xdr:from>
        <xdr:to>
          <xdr:col>3</xdr:col>
          <xdr:colOff>142875</xdr:colOff>
          <xdr:row>43</xdr:row>
          <xdr:rowOff>180975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28575</xdr:rowOff>
        </xdr:from>
        <xdr:to>
          <xdr:col>3</xdr:col>
          <xdr:colOff>142875</xdr:colOff>
          <xdr:row>44</xdr:row>
          <xdr:rowOff>180975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45</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xdr:row>
          <xdr:rowOff>28575</xdr:rowOff>
        </xdr:from>
        <xdr:to>
          <xdr:col>3</xdr:col>
          <xdr:colOff>142875</xdr:colOff>
          <xdr:row>46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95</xdr:row>
          <xdr:rowOff>180975</xdr:rowOff>
        </xdr:from>
        <xdr:to>
          <xdr:col>19</xdr:col>
          <xdr:colOff>190500</xdr:colOff>
          <xdr:row>97</xdr:row>
          <xdr:rowOff>28575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180</xdr:row>
          <xdr:rowOff>47625</xdr:rowOff>
        </xdr:from>
        <xdr:to>
          <xdr:col>2</xdr:col>
          <xdr:colOff>66675</xdr:colOff>
          <xdr:row>180</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57150</xdr:rowOff>
        </xdr:from>
        <xdr:to>
          <xdr:col>2</xdr:col>
          <xdr:colOff>66675</xdr:colOff>
          <xdr:row>178</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66675</xdr:rowOff>
        </xdr:from>
        <xdr:to>
          <xdr:col>2</xdr:col>
          <xdr:colOff>142875</xdr:colOff>
          <xdr:row>18</xdr:row>
          <xdr:rowOff>190500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57</xdr:row>
          <xdr:rowOff>66675</xdr:rowOff>
        </xdr:from>
        <xdr:to>
          <xdr:col>3</xdr:col>
          <xdr:colOff>152400</xdr:colOff>
          <xdr:row>59</xdr:row>
          <xdr:rowOff>28575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38100</xdr:rowOff>
        </xdr:from>
        <xdr:to>
          <xdr:col>3</xdr:col>
          <xdr:colOff>152400</xdr:colOff>
          <xdr:row>64</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28575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9525</xdr:rowOff>
        </xdr:from>
        <xdr:to>
          <xdr:col>2</xdr:col>
          <xdr:colOff>66675</xdr:colOff>
          <xdr:row>186</xdr:row>
          <xdr:rowOff>152400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178</xdr:row>
          <xdr:rowOff>47625</xdr:rowOff>
        </xdr:from>
        <xdr:to>
          <xdr:col>2</xdr:col>
          <xdr:colOff>66675</xdr:colOff>
          <xdr:row>178</xdr:row>
          <xdr:rowOff>190500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15</xdr:col>
          <xdr:colOff>142875</xdr:colOff>
          <xdr:row>11</xdr:row>
          <xdr:rowOff>180975</xdr:rowOff>
        </xdr:to>
        <xdr:sp macro="" textlink="">
          <xdr:nvSpPr>
            <xdr:cNvPr id="28690" name="Option Button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11</xdr:row>
          <xdr:rowOff>28575</xdr:rowOff>
        </xdr:from>
        <xdr:to>
          <xdr:col>19</xdr:col>
          <xdr:colOff>190500</xdr:colOff>
          <xdr:row>11</xdr:row>
          <xdr:rowOff>180975</xdr:rowOff>
        </xdr:to>
        <xdr:sp macro="" textlink="">
          <xdr:nvSpPr>
            <xdr:cNvPr id="28691" name="Option Button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0</xdr:rowOff>
        </xdr:from>
        <xdr:to>
          <xdr:col>25</xdr:col>
          <xdr:colOff>180975</xdr:colOff>
          <xdr:row>22</xdr:row>
          <xdr:rowOff>0</xdr:rowOff>
        </xdr:to>
        <xdr:sp macro="" textlink="">
          <xdr:nvSpPr>
            <xdr:cNvPr id="28692" name="Option Button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Photovoltaikanlage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28</xdr:col>
          <xdr:colOff>219075</xdr:colOff>
          <xdr:row>22</xdr:row>
          <xdr:rowOff>0</xdr:rowOff>
        </xdr:to>
        <xdr:sp macro="" textlink="">
          <xdr:nvSpPr>
            <xdr:cNvPr id="28693" name="Option Button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180975</xdr:rowOff>
        </xdr:from>
        <xdr:to>
          <xdr:col>2</xdr:col>
          <xdr:colOff>104775</xdr:colOff>
          <xdr:row>75</xdr:row>
          <xdr:rowOff>66675</xdr:rowOff>
        </xdr:to>
        <xdr:sp macro="" textlink="">
          <xdr:nvSpPr>
            <xdr:cNvPr id="28694" name="Option Button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219075</xdr:rowOff>
        </xdr:from>
        <xdr:to>
          <xdr:col>2</xdr:col>
          <xdr:colOff>104775</xdr:colOff>
          <xdr:row>77</xdr:row>
          <xdr:rowOff>28575</xdr:rowOff>
        </xdr:to>
        <xdr:sp macro="" textlink="">
          <xdr:nvSpPr>
            <xdr:cNvPr id="28695" name="Option Button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219075</xdr:rowOff>
        </xdr:from>
        <xdr:to>
          <xdr:col>2</xdr:col>
          <xdr:colOff>104775</xdr:colOff>
          <xdr:row>78</xdr:row>
          <xdr:rowOff>28575</xdr:rowOff>
        </xdr:to>
        <xdr:sp macro="" textlink="">
          <xdr:nvSpPr>
            <xdr:cNvPr id="28696" name="Option Button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189</xdr:row>
          <xdr:rowOff>9525</xdr:rowOff>
        </xdr:from>
        <xdr:to>
          <xdr:col>2</xdr:col>
          <xdr:colOff>66675</xdr:colOff>
          <xdr:row>189</xdr:row>
          <xdr:rowOff>152400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28575</xdr:rowOff>
        </xdr:from>
        <xdr:to>
          <xdr:col>2</xdr:col>
          <xdr:colOff>66675</xdr:colOff>
          <xdr:row>144</xdr:row>
          <xdr:rowOff>152400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xdr:row>
          <xdr:rowOff>76200</xdr:rowOff>
        </xdr:from>
        <xdr:to>
          <xdr:col>21</xdr:col>
          <xdr:colOff>9525</xdr:colOff>
          <xdr:row>12</xdr:row>
          <xdr:rowOff>28575</xdr:rowOff>
        </xdr:to>
        <xdr:sp macro="" textlink="">
          <xdr:nvSpPr>
            <xdr:cNvPr id="28699" name="Group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219075</xdr:rowOff>
        </xdr:from>
        <xdr:to>
          <xdr:col>2</xdr:col>
          <xdr:colOff>114300</xdr:colOff>
          <xdr:row>76</xdr:row>
          <xdr:rowOff>47625</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228600</xdr:rowOff>
        </xdr:from>
        <xdr:to>
          <xdr:col>2</xdr:col>
          <xdr:colOff>104775</xdr:colOff>
          <xdr:row>78</xdr:row>
          <xdr:rowOff>228600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5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9525</xdr:rowOff>
        </xdr:from>
        <xdr:to>
          <xdr:col>2</xdr:col>
          <xdr:colOff>66675</xdr:colOff>
          <xdr:row>185</xdr:row>
          <xdr:rowOff>152400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184</xdr:row>
          <xdr:rowOff>19050</xdr:rowOff>
        </xdr:from>
        <xdr:to>
          <xdr:col>2</xdr:col>
          <xdr:colOff>66675</xdr:colOff>
          <xdr:row>184</xdr:row>
          <xdr:rowOff>161925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500-00001F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38100</xdr:rowOff>
        </xdr:from>
        <xdr:to>
          <xdr:col>2</xdr:col>
          <xdr:colOff>66675</xdr:colOff>
          <xdr:row>182</xdr:row>
          <xdr:rowOff>180975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183</xdr:row>
          <xdr:rowOff>9525</xdr:rowOff>
        </xdr:from>
        <xdr:to>
          <xdr:col>2</xdr:col>
          <xdr:colOff>66675</xdr:colOff>
          <xdr:row>183</xdr:row>
          <xdr:rowOff>152400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188</xdr:row>
          <xdr:rowOff>9525</xdr:rowOff>
        </xdr:from>
        <xdr:to>
          <xdr:col>2</xdr:col>
          <xdr:colOff>66675</xdr:colOff>
          <xdr:row>188</xdr:row>
          <xdr:rowOff>152400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500-00002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228600</xdr:rowOff>
        </xdr:from>
        <xdr:to>
          <xdr:col>2</xdr:col>
          <xdr:colOff>142875</xdr:colOff>
          <xdr:row>79</xdr:row>
          <xdr:rowOff>219075</xdr:rowOff>
        </xdr:to>
        <xdr:sp macro="" textlink="">
          <xdr:nvSpPr>
            <xdr:cNvPr id="28707" name="Option Button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73</xdr:row>
          <xdr:rowOff>161925</xdr:rowOff>
        </xdr:from>
        <xdr:to>
          <xdr:col>3</xdr:col>
          <xdr:colOff>0</xdr:colOff>
          <xdr:row>80</xdr:row>
          <xdr:rowOff>28575</xdr:rowOff>
        </xdr:to>
        <xdr:sp macro="" textlink="">
          <xdr:nvSpPr>
            <xdr:cNvPr id="28708" name="Group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20</xdr:row>
          <xdr:rowOff>180975</xdr:rowOff>
        </xdr:from>
        <xdr:to>
          <xdr:col>30</xdr:col>
          <xdr:colOff>28575</xdr:colOff>
          <xdr:row>22</xdr:row>
          <xdr:rowOff>28575</xdr:rowOff>
        </xdr:to>
        <xdr:sp macro="" textlink="">
          <xdr:nvSpPr>
            <xdr:cNvPr id="28709" name="Group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181</xdr:row>
          <xdr:rowOff>28575</xdr:rowOff>
        </xdr:from>
        <xdr:to>
          <xdr:col>2</xdr:col>
          <xdr:colOff>66675</xdr:colOff>
          <xdr:row>181</xdr:row>
          <xdr:rowOff>180975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190</xdr:row>
          <xdr:rowOff>9525</xdr:rowOff>
        </xdr:from>
        <xdr:to>
          <xdr:col>2</xdr:col>
          <xdr:colOff>66675</xdr:colOff>
          <xdr:row>190</xdr:row>
          <xdr:rowOff>152400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38100</xdr:rowOff>
        </xdr:from>
        <xdr:to>
          <xdr:col>2</xdr:col>
          <xdr:colOff>66675</xdr:colOff>
          <xdr:row>179</xdr:row>
          <xdr:rowOff>180975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9525</xdr:rowOff>
        </xdr:from>
        <xdr:to>
          <xdr:col>2</xdr:col>
          <xdr:colOff>66675</xdr:colOff>
          <xdr:row>187</xdr:row>
          <xdr:rowOff>152400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150</xdr:row>
          <xdr:rowOff>38100</xdr:rowOff>
        </xdr:from>
        <xdr:to>
          <xdr:col>2</xdr:col>
          <xdr:colOff>38100</xdr:colOff>
          <xdr:row>150</xdr:row>
          <xdr:rowOff>161925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500-0000597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217004</xdr:colOff>
      <xdr:row>1</xdr:row>
      <xdr:rowOff>24849</xdr:rowOff>
    </xdr:from>
    <xdr:to>
      <xdr:col>4</xdr:col>
      <xdr:colOff>424069</xdr:colOff>
      <xdr:row>4</xdr:row>
      <xdr:rowOff>196526</xdr:rowOff>
    </xdr:to>
    <xdr:pic>
      <xdr:nvPicPr>
        <xdr:cNvPr id="2" name="Image 1" descr="Logo Final">
          <a:extLst>
            <a:ext uri="{FF2B5EF4-FFF2-40B4-BE49-F238E27FC236}">
              <a16:creationId xmlns:a16="http://schemas.microsoft.com/office/drawing/2014/main" id="{644E2D3E-297F-46B6-AEB3-CFE0C2141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129" y="224874"/>
          <a:ext cx="873815" cy="80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49</xdr:row>
          <xdr:rowOff>133350</xdr:rowOff>
        </xdr:from>
        <xdr:to>
          <xdr:col>2</xdr:col>
          <xdr:colOff>76200</xdr:colOff>
          <xdr:row>50</xdr:row>
          <xdr:rowOff>180975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600-000001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190500</xdr:rowOff>
        </xdr:from>
        <xdr:to>
          <xdr:col>2</xdr:col>
          <xdr:colOff>76200</xdr:colOff>
          <xdr:row>51</xdr:row>
          <xdr:rowOff>161925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600-000002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209550</xdr:rowOff>
        </xdr:from>
        <xdr:to>
          <xdr:col>2</xdr:col>
          <xdr:colOff>76200</xdr:colOff>
          <xdr:row>53</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600-000003C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15</xdr:row>
          <xdr:rowOff>104775</xdr:rowOff>
        </xdr:from>
        <xdr:to>
          <xdr:col>3</xdr:col>
          <xdr:colOff>0</xdr:colOff>
          <xdr:row>16</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28575</xdr:rowOff>
        </xdr:from>
        <xdr:to>
          <xdr:col>15</xdr:col>
          <xdr:colOff>180975</xdr:colOff>
          <xdr:row>18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180975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44</xdr:row>
          <xdr:rowOff>142875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180975</xdr:rowOff>
        </xdr:from>
        <xdr:to>
          <xdr:col>3</xdr:col>
          <xdr:colOff>142875</xdr:colOff>
          <xdr:row>45</xdr:row>
          <xdr:rowOff>114300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190500</xdr:rowOff>
        </xdr:from>
        <xdr:to>
          <xdr:col>3</xdr:col>
          <xdr:colOff>142875</xdr:colOff>
          <xdr:row>47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76</xdr:row>
          <xdr:rowOff>142875</xdr:rowOff>
        </xdr:from>
        <xdr:to>
          <xdr:col>26</xdr:col>
          <xdr:colOff>142875</xdr:colOff>
          <xdr:row>78</xdr:row>
          <xdr:rowOff>104775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142875</xdr:colOff>
          <xdr:row>79</xdr:row>
          <xdr:rowOff>142875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90</xdr:row>
          <xdr:rowOff>66675</xdr:rowOff>
        </xdr:from>
        <xdr:to>
          <xdr:col>19</xdr:col>
          <xdr:colOff>190500</xdr:colOff>
          <xdr:row>92</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0</xdr:rowOff>
        </xdr:from>
        <xdr:to>
          <xdr:col>2</xdr:col>
          <xdr:colOff>66675</xdr:colOff>
          <xdr:row>165</xdr:row>
          <xdr:rowOff>66675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0</xdr:rowOff>
        </xdr:from>
        <xdr:to>
          <xdr:col>2</xdr:col>
          <xdr:colOff>66675</xdr:colOff>
          <xdr:row>166</xdr:row>
          <xdr:rowOff>66675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0</xdr:rowOff>
        </xdr:from>
        <xdr:to>
          <xdr:col>2</xdr:col>
          <xdr:colOff>66675</xdr:colOff>
          <xdr:row>167</xdr:row>
          <xdr:rowOff>66675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66675</xdr:rowOff>
        </xdr:from>
        <xdr:to>
          <xdr:col>15</xdr:col>
          <xdr:colOff>180975</xdr:colOff>
          <xdr:row>18</xdr:row>
          <xdr:rowOff>114300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180975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31</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163</xdr:row>
          <xdr:rowOff>0</xdr:rowOff>
        </xdr:from>
        <xdr:to>
          <xdr:col>2</xdr:col>
          <xdr:colOff>66675</xdr:colOff>
          <xdr:row>164</xdr:row>
          <xdr:rowOff>66675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104775</xdr:rowOff>
        </xdr:from>
        <xdr:to>
          <xdr:col>13</xdr:col>
          <xdr:colOff>66675</xdr:colOff>
          <xdr:row>11</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28</xdr:col>
          <xdr:colOff>219075</xdr:colOff>
          <xdr:row>22</xdr:row>
          <xdr:rowOff>38100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8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219075</xdr:colOff>
          <xdr:row>22</xdr:row>
          <xdr:rowOff>38100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8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20</xdr:row>
          <xdr:rowOff>219075</xdr:rowOff>
        </xdr:from>
        <xdr:to>
          <xdr:col>32</xdr:col>
          <xdr:colOff>257175</xdr:colOff>
          <xdr:row>22</xdr:row>
          <xdr:rowOff>38100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8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70</xdr:row>
          <xdr:rowOff>0</xdr:rowOff>
        </xdr:from>
        <xdr:to>
          <xdr:col>2</xdr:col>
          <xdr:colOff>104775</xdr:colOff>
          <xdr:row>71</xdr:row>
          <xdr:rowOff>28575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8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28575</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8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142875</xdr:colOff>
          <xdr:row>73</xdr:row>
          <xdr:rowOff>66675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8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219075</xdr:rowOff>
        </xdr:from>
        <xdr:to>
          <xdr:col>14</xdr:col>
          <xdr:colOff>152400</xdr:colOff>
          <xdr:row>101</xdr:row>
          <xdr:rowOff>66675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8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219075</xdr:rowOff>
        </xdr:from>
        <xdr:to>
          <xdr:col>17</xdr:col>
          <xdr:colOff>142875</xdr:colOff>
          <xdr:row>101</xdr:row>
          <xdr:rowOff>66675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8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102</xdr:row>
          <xdr:rowOff>0</xdr:rowOff>
        </xdr:from>
        <xdr:to>
          <xdr:col>14</xdr:col>
          <xdr:colOff>142875</xdr:colOff>
          <xdr:row>103</xdr:row>
          <xdr:rowOff>66675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8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102</xdr:row>
          <xdr:rowOff>0</xdr:rowOff>
        </xdr:from>
        <xdr:to>
          <xdr:col>17</xdr:col>
          <xdr:colOff>142875</xdr:colOff>
          <xdr:row>103</xdr:row>
          <xdr:rowOff>66675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8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219075</xdr:rowOff>
        </xdr:from>
        <xdr:to>
          <xdr:col>2</xdr:col>
          <xdr:colOff>66675</xdr:colOff>
          <xdr:row>168</xdr:row>
          <xdr:rowOff>66675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800-00001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152</xdr:row>
          <xdr:rowOff>76200</xdr:rowOff>
        </xdr:from>
        <xdr:to>
          <xdr:col>1</xdr:col>
          <xdr:colOff>180975</xdr:colOff>
          <xdr:row>153</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800-000020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0</xdr:rowOff>
        </xdr:from>
        <xdr:to>
          <xdr:col>2</xdr:col>
          <xdr:colOff>66675</xdr:colOff>
          <xdr:row>169</xdr:row>
          <xdr:rowOff>66675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800-000021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10</xdr:row>
          <xdr:rowOff>76200</xdr:rowOff>
        </xdr:from>
        <xdr:to>
          <xdr:col>19</xdr:col>
          <xdr:colOff>66675</xdr:colOff>
          <xdr:row>11</xdr:row>
          <xdr:rowOff>142875</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8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168</xdr:row>
          <xdr:rowOff>190500</xdr:rowOff>
        </xdr:from>
        <xdr:to>
          <xdr:col>2</xdr:col>
          <xdr:colOff>66675</xdr:colOff>
          <xdr:row>170</xdr:row>
          <xdr:rowOff>66675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800-000023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28575</xdr:rowOff>
        </xdr:from>
        <xdr:to>
          <xdr:col>2</xdr:col>
          <xdr:colOff>142875</xdr:colOff>
          <xdr:row>74</xdr:row>
          <xdr:rowOff>66675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8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66675</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8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3</xdr:col>
          <xdr:colOff>0</xdr:colOff>
          <xdr:row>77</xdr:row>
          <xdr:rowOff>38100</xdr:rowOff>
        </xdr:to>
        <xdr:sp macro="" textlink="">
          <xdr:nvSpPr>
            <xdr:cNvPr id="8230" name="Group Box 38" hidden="1">
              <a:extLst>
                <a:ext uri="{63B3BB69-23CF-44E3-9099-C40C66FF867C}">
                  <a14:compatExt spid="_x0000_s8230"/>
                </a:ext>
                <a:ext uri="{FF2B5EF4-FFF2-40B4-BE49-F238E27FC236}">
                  <a16:creationId xmlns:a16="http://schemas.microsoft.com/office/drawing/2014/main" id="{00000000-0008-0000-08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180975</xdr:rowOff>
        </xdr:from>
        <xdr:to>
          <xdr:col>2</xdr:col>
          <xdr:colOff>66675</xdr:colOff>
          <xdr:row>171</xdr:row>
          <xdr:rowOff>66675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800-000027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180975</xdr:rowOff>
        </xdr:from>
        <xdr:to>
          <xdr:col>2</xdr:col>
          <xdr:colOff>66675</xdr:colOff>
          <xdr:row>173</xdr:row>
          <xdr:rowOff>66675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800-000028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170</xdr:row>
          <xdr:rowOff>180975</xdr:rowOff>
        </xdr:from>
        <xdr:to>
          <xdr:col>2</xdr:col>
          <xdr:colOff>66675</xdr:colOff>
          <xdr:row>172</xdr:row>
          <xdr:rowOff>66675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800-000029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99</xdr:row>
          <xdr:rowOff>180975</xdr:rowOff>
        </xdr:from>
        <xdr:to>
          <xdr:col>20</xdr:col>
          <xdr:colOff>28575</xdr:colOff>
          <xdr:row>102</xdr:row>
          <xdr:rowOff>0</xdr:rowOff>
        </xdr:to>
        <xdr:sp macro="" textlink="">
          <xdr:nvSpPr>
            <xdr:cNvPr id="8234" name="Group Box 42" hidden="1">
              <a:extLst>
                <a:ext uri="{63B3BB69-23CF-44E3-9099-C40C66FF867C}">
                  <a14:compatExt spid="_x0000_s8234"/>
                </a:ext>
                <a:ext uri="{FF2B5EF4-FFF2-40B4-BE49-F238E27FC236}">
                  <a16:creationId xmlns:a16="http://schemas.microsoft.com/office/drawing/2014/main" id="{00000000-0008-0000-0800-00002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101</xdr:row>
          <xdr:rowOff>66675</xdr:rowOff>
        </xdr:from>
        <xdr:to>
          <xdr:col>20</xdr:col>
          <xdr:colOff>66675</xdr:colOff>
          <xdr:row>102</xdr:row>
          <xdr:rowOff>142875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8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28575</xdr:rowOff>
        </xdr:from>
        <xdr:to>
          <xdr:col>2</xdr:col>
          <xdr:colOff>66675</xdr:colOff>
          <xdr:row>163</xdr:row>
          <xdr:rowOff>66675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800-00002C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180975</xdr:rowOff>
        </xdr:from>
        <xdr:to>
          <xdr:col>2</xdr:col>
          <xdr:colOff>66675</xdr:colOff>
          <xdr:row>162</xdr:row>
          <xdr:rowOff>114300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800-00002D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0</xdr:rowOff>
        </xdr:from>
        <xdr:to>
          <xdr:col>2</xdr:col>
          <xdr:colOff>66675</xdr:colOff>
          <xdr:row>161</xdr:row>
          <xdr:rowOff>66675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800-00002E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159</xdr:row>
          <xdr:rowOff>76200</xdr:rowOff>
        </xdr:from>
        <xdr:to>
          <xdr:col>2</xdr:col>
          <xdr:colOff>66675</xdr:colOff>
          <xdr:row>161</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800-00002F2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28575</xdr:rowOff>
        </xdr:from>
        <xdr:to>
          <xdr:col>16</xdr:col>
          <xdr:colOff>142875</xdr:colOff>
          <xdr:row>12</xdr:row>
          <xdr:rowOff>28575</xdr:rowOff>
        </xdr:to>
        <xdr:sp macro="" textlink="">
          <xdr:nvSpPr>
            <xdr:cNvPr id="8240" name="Option Button 48" hidden="1">
              <a:extLst>
                <a:ext uri="{63B3BB69-23CF-44E3-9099-C40C66FF867C}">
                  <a14:compatExt spid="_x0000_s8240"/>
                </a:ext>
                <a:ext uri="{FF2B5EF4-FFF2-40B4-BE49-F238E27FC236}">
                  <a16:creationId xmlns:a16="http://schemas.microsoft.com/office/drawing/2014/main" id="{00000000-0008-0000-08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16</xdr:row>
          <xdr:rowOff>28575</xdr:rowOff>
        </xdr:from>
        <xdr:to>
          <xdr:col>2</xdr:col>
          <xdr:colOff>180975</xdr:colOff>
          <xdr:row>17</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38100</xdr:rowOff>
        </xdr:from>
        <xdr:to>
          <xdr:col>15</xdr:col>
          <xdr:colOff>180975</xdr:colOff>
          <xdr:row>17</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24849</xdr:colOff>
      <xdr:row>1</xdr:row>
      <xdr:rowOff>24849</xdr:rowOff>
    </xdr:from>
    <xdr:to>
      <xdr:col>5</xdr:col>
      <xdr:colOff>167724</xdr:colOff>
      <xdr:row>4</xdr:row>
      <xdr:rowOff>196526</xdr:rowOff>
    </xdr:to>
    <xdr:pic>
      <xdr:nvPicPr>
        <xdr:cNvPr id="4" name="Image 3" descr="Logo Final">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69" y="230589"/>
          <a:ext cx="1049655" cy="788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25</xdr:col>
          <xdr:colOff>219075</xdr:colOff>
          <xdr:row>15</xdr:row>
          <xdr:rowOff>104775</xdr:rowOff>
        </xdr:from>
        <xdr:to>
          <xdr:col>26</xdr:col>
          <xdr:colOff>180975</xdr:colOff>
          <xdr:row>16</xdr:row>
          <xdr:rowOff>142875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41</xdr:row>
          <xdr:rowOff>66675</xdr:rowOff>
        </xdr:from>
        <xdr:to>
          <xdr:col>3</xdr:col>
          <xdr:colOff>142875</xdr:colOff>
          <xdr:row>42</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180975</xdr:rowOff>
        </xdr:from>
        <xdr:to>
          <xdr:col>3</xdr:col>
          <xdr:colOff>142875</xdr:colOff>
          <xdr:row>43</xdr:row>
          <xdr:rowOff>142875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142875</xdr:colOff>
          <xdr:row>44</xdr:row>
          <xdr:rowOff>142875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28575</xdr:rowOff>
        </xdr:from>
        <xdr:to>
          <xdr:col>3</xdr:col>
          <xdr:colOff>142875</xdr:colOff>
          <xdr:row>46</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77</xdr:row>
          <xdr:rowOff>180975</xdr:rowOff>
        </xdr:from>
        <xdr:to>
          <xdr:col>26</xdr:col>
          <xdr:colOff>180975</xdr:colOff>
          <xdr:row>79</xdr:row>
          <xdr:rowOff>66675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78</xdr:row>
          <xdr:rowOff>190500</xdr:rowOff>
        </xdr:from>
        <xdr:to>
          <xdr:col>26</xdr:col>
          <xdr:colOff>180975</xdr:colOff>
          <xdr:row>80</xdr:row>
          <xdr:rowOff>66675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89</xdr:row>
          <xdr:rowOff>66675</xdr:rowOff>
        </xdr:from>
        <xdr:to>
          <xdr:col>19</xdr:col>
          <xdr:colOff>190500</xdr:colOff>
          <xdr:row>90</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28575</xdr:rowOff>
        </xdr:from>
        <xdr:to>
          <xdr:col>2</xdr:col>
          <xdr:colOff>66675</xdr:colOff>
          <xdr:row>165</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28575</xdr:rowOff>
        </xdr:from>
        <xdr:to>
          <xdr:col>2</xdr:col>
          <xdr:colOff>66675</xdr:colOff>
          <xdr:row>158</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28575</xdr:rowOff>
        </xdr:from>
        <xdr:to>
          <xdr:col>2</xdr:col>
          <xdr:colOff>66675</xdr:colOff>
          <xdr:row>156</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168</xdr:row>
          <xdr:rowOff>28575</xdr:rowOff>
        </xdr:from>
        <xdr:to>
          <xdr:col>2</xdr:col>
          <xdr:colOff>66675</xdr:colOff>
          <xdr:row>169</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38100</xdr:rowOff>
        </xdr:from>
        <xdr:to>
          <xdr:col>15</xdr:col>
          <xdr:colOff>180975</xdr:colOff>
          <xdr:row>19</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66675</xdr:rowOff>
        </xdr:from>
        <xdr:to>
          <xdr:col>3</xdr:col>
          <xdr:colOff>152400</xdr:colOff>
          <xdr:row>56</xdr:row>
          <xdr:rowOff>142875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38100</xdr:rowOff>
        </xdr:from>
        <xdr:to>
          <xdr:col>3</xdr:col>
          <xdr:colOff>152400</xdr:colOff>
          <xdr:row>61</xdr:row>
          <xdr:rowOff>142875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66675</xdr:rowOff>
        </xdr:from>
        <xdr:to>
          <xdr:col>3</xdr:col>
          <xdr:colOff>142875</xdr:colOff>
          <xdr:row>30</xdr:row>
          <xdr:rowOff>142875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28575</xdr:rowOff>
        </xdr:from>
        <xdr:to>
          <xdr:col>2</xdr:col>
          <xdr:colOff>66675</xdr:colOff>
          <xdr:row>163</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157</xdr:row>
          <xdr:rowOff>28575</xdr:rowOff>
        </xdr:from>
        <xdr:to>
          <xdr:col>2</xdr:col>
          <xdr:colOff>66675</xdr:colOff>
          <xdr:row>157</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28575</xdr:rowOff>
        </xdr:from>
        <xdr:to>
          <xdr:col>13</xdr:col>
          <xdr:colOff>66675</xdr:colOff>
          <xdr:row>12</xdr:row>
          <xdr:rowOff>28575</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28575</xdr:rowOff>
        </xdr:from>
        <xdr:to>
          <xdr:col>17</xdr:col>
          <xdr:colOff>142875</xdr:colOff>
          <xdr:row>12</xdr:row>
          <xdr:rowOff>28575</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219075</xdr:rowOff>
        </xdr:from>
        <xdr:to>
          <xdr:col>30</xdr:col>
          <xdr:colOff>485775</xdr:colOff>
          <xdr:row>22</xdr:row>
          <xdr:rowOff>104775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Installation solaire photovoltaïque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219075</xdr:rowOff>
        </xdr:from>
        <xdr:to>
          <xdr:col>30</xdr:col>
          <xdr:colOff>142875</xdr:colOff>
          <xdr:row>22</xdr:row>
          <xdr:rowOff>104775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219075</xdr:rowOff>
        </xdr:from>
        <xdr:to>
          <xdr:col>31</xdr:col>
          <xdr:colOff>266700</xdr:colOff>
          <xdr:row>22</xdr:row>
          <xdr:rowOff>104775</xdr:rowOff>
        </xdr:to>
        <xdr:sp macro="" textlink="">
          <xdr:nvSpPr>
            <xdr:cNvPr id="10265" name="Group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71</xdr:row>
          <xdr:rowOff>0</xdr:rowOff>
        </xdr:from>
        <xdr:to>
          <xdr:col>2</xdr:col>
          <xdr:colOff>104775</xdr:colOff>
          <xdr:row>72</xdr:row>
          <xdr:rowOff>104775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72</xdr:row>
          <xdr:rowOff>0</xdr:rowOff>
        </xdr:from>
        <xdr:to>
          <xdr:col>2</xdr:col>
          <xdr:colOff>104775</xdr:colOff>
          <xdr:row>73</xdr:row>
          <xdr:rowOff>104775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73</xdr:row>
          <xdr:rowOff>0</xdr:rowOff>
        </xdr:from>
        <xdr:to>
          <xdr:col>2</xdr:col>
          <xdr:colOff>142875</xdr:colOff>
          <xdr:row>74</xdr:row>
          <xdr:rowOff>114300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99</xdr:row>
          <xdr:rowOff>28575</xdr:rowOff>
        </xdr:from>
        <xdr:to>
          <xdr:col>14</xdr:col>
          <xdr:colOff>152400</xdr:colOff>
          <xdr:row>100</xdr:row>
          <xdr:rowOff>66675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99</xdr:row>
          <xdr:rowOff>28575</xdr:rowOff>
        </xdr:from>
        <xdr:to>
          <xdr:col>17</xdr:col>
          <xdr:colOff>142875</xdr:colOff>
          <xdr:row>100</xdr:row>
          <xdr:rowOff>66675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101</xdr:row>
          <xdr:rowOff>0</xdr:rowOff>
        </xdr:from>
        <xdr:to>
          <xdr:col>14</xdr:col>
          <xdr:colOff>142875</xdr:colOff>
          <xdr:row>102</xdr:row>
          <xdr:rowOff>66675</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101</xdr:row>
          <xdr:rowOff>0</xdr:rowOff>
        </xdr:from>
        <xdr:to>
          <xdr:col>17</xdr:col>
          <xdr:colOff>142875</xdr:colOff>
          <xdr:row>102</xdr:row>
          <xdr:rowOff>66675</xdr:rowOff>
        </xdr:to>
        <xdr:sp macro="" textlink="">
          <xdr:nvSpPr>
            <xdr:cNvPr id="10272" name="Option 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169</xdr:row>
          <xdr:rowOff>28575</xdr:rowOff>
        </xdr:from>
        <xdr:to>
          <xdr:col>2</xdr:col>
          <xdr:colOff>66675</xdr:colOff>
          <xdr:row>170</xdr:row>
          <xdr:rowOff>28575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149</xdr:row>
          <xdr:rowOff>28575</xdr:rowOff>
        </xdr:from>
        <xdr:to>
          <xdr:col>2</xdr:col>
          <xdr:colOff>66675</xdr:colOff>
          <xdr:row>149</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170</xdr:row>
          <xdr:rowOff>28575</xdr:rowOff>
        </xdr:from>
        <xdr:to>
          <xdr:col>2</xdr:col>
          <xdr:colOff>66675</xdr:colOff>
          <xdr:row>171</xdr:row>
          <xdr:rowOff>28575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76200</xdr:rowOff>
        </xdr:from>
        <xdr:to>
          <xdr:col>19</xdr:col>
          <xdr:colOff>66675</xdr:colOff>
          <xdr:row>11</xdr:row>
          <xdr:rowOff>142875</xdr:rowOff>
        </xdr:to>
        <xdr:sp macro="" textlink="">
          <xdr:nvSpPr>
            <xdr:cNvPr id="10276" name="Group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74</xdr:row>
          <xdr:rowOff>28575</xdr:rowOff>
        </xdr:from>
        <xdr:to>
          <xdr:col>2</xdr:col>
          <xdr:colOff>142875</xdr:colOff>
          <xdr:row>75</xdr:row>
          <xdr:rowOff>142875</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75</xdr:row>
          <xdr:rowOff>28575</xdr:rowOff>
        </xdr:from>
        <xdr:to>
          <xdr:col>2</xdr:col>
          <xdr:colOff>142875</xdr:colOff>
          <xdr:row>76</xdr:row>
          <xdr:rowOff>76200</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180975</xdr:rowOff>
        </xdr:from>
        <xdr:to>
          <xdr:col>20</xdr:col>
          <xdr:colOff>66675</xdr:colOff>
          <xdr:row>101</xdr:row>
          <xdr:rowOff>0</xdr:rowOff>
        </xdr:to>
        <xdr:sp macro="" textlink="">
          <xdr:nvSpPr>
            <xdr:cNvPr id="10279" name="Group Box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100</xdr:row>
          <xdr:rowOff>66675</xdr:rowOff>
        </xdr:from>
        <xdr:to>
          <xdr:col>20</xdr:col>
          <xdr:colOff>66675</xdr:colOff>
          <xdr:row>101</xdr:row>
          <xdr:rowOff>180975</xdr:rowOff>
        </xdr:to>
        <xdr:sp macro="" textlink="">
          <xdr:nvSpPr>
            <xdr:cNvPr id="10280" name="Group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28575</xdr:rowOff>
        </xdr:from>
        <xdr:to>
          <xdr:col>2</xdr:col>
          <xdr:colOff>66675</xdr:colOff>
          <xdr:row>162</xdr:row>
          <xdr:rowOff>180975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166</xdr:row>
          <xdr:rowOff>28575</xdr:rowOff>
        </xdr:from>
        <xdr:to>
          <xdr:col>2</xdr:col>
          <xdr:colOff>66675</xdr:colOff>
          <xdr:row>167</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28575</xdr:rowOff>
        </xdr:from>
        <xdr:to>
          <xdr:col>2</xdr:col>
          <xdr:colOff>66675</xdr:colOff>
          <xdr:row>161</xdr:row>
          <xdr:rowOff>180975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28575</xdr:rowOff>
        </xdr:from>
        <xdr:to>
          <xdr:col>2</xdr:col>
          <xdr:colOff>66675</xdr:colOff>
          <xdr:row>159</xdr:row>
          <xdr:rowOff>152400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28575</xdr:rowOff>
        </xdr:from>
        <xdr:to>
          <xdr:col>2</xdr:col>
          <xdr:colOff>66675</xdr:colOff>
          <xdr:row>160</xdr:row>
          <xdr:rowOff>152400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28575</xdr:rowOff>
        </xdr:from>
        <xdr:to>
          <xdr:col>2</xdr:col>
          <xdr:colOff>66675</xdr:colOff>
          <xdr:row>166</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70</xdr:row>
          <xdr:rowOff>76200</xdr:rowOff>
        </xdr:from>
        <xdr:to>
          <xdr:col>3</xdr:col>
          <xdr:colOff>28575</xdr:colOff>
          <xdr:row>77</xdr:row>
          <xdr:rowOff>152400</xdr:rowOff>
        </xdr:to>
        <xdr:sp macro="" textlink="">
          <xdr:nvSpPr>
            <xdr:cNvPr id="10287" name="Group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167</xdr:row>
          <xdr:rowOff>28575</xdr:rowOff>
        </xdr:from>
        <xdr:to>
          <xdr:col>2</xdr:col>
          <xdr:colOff>66675</xdr:colOff>
          <xdr:row>168</xdr:row>
          <xdr:rowOff>28575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666749</xdr:colOff>
      <xdr:row>2</xdr:row>
      <xdr:rowOff>116497</xdr:rowOff>
    </xdr:from>
    <xdr:ext cx="6060841" cy="1759927"/>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352549" y="440347"/>
          <a:ext cx="6060841" cy="1759927"/>
        </a:xfrm>
        <a:prstGeom prst="rect">
          <a:avLst/>
        </a:prstGeom>
      </xdr:spPr>
    </xdr:pic>
    <xdr:clientData/>
  </xdr:oneCellAnchor>
  <xdr:oneCellAnchor>
    <xdr:from>
      <xdr:col>1</xdr:col>
      <xdr:colOff>609600</xdr:colOff>
      <xdr:row>16</xdr:row>
      <xdr:rowOff>133349</xdr:rowOff>
    </xdr:from>
    <xdr:ext cx="6336162" cy="1562101"/>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295400" y="2724149"/>
          <a:ext cx="6336162" cy="156210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3" Type="http://schemas.openxmlformats.org/officeDocument/2006/relationships/ctrlProp" Target="../ctrlProps/ctrlProp143.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50" Type="http://schemas.openxmlformats.org/officeDocument/2006/relationships/ctrlProp" Target="../ctrlProps/ctrlProp19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 Type="http://schemas.openxmlformats.org/officeDocument/2006/relationships/vmlDrawing" Target="../drawings/vmlDrawing8.v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trlProp" Target="../ctrlProps/ctrlProp181.xml"/><Relationship Id="rId1" Type="http://schemas.openxmlformats.org/officeDocument/2006/relationships/drawing" Target="../drawings/drawing8.xml"/><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8" Type="http://schemas.openxmlformats.org/officeDocument/2006/relationships/ctrlProp" Target="../ctrlProps/ctrlProp148.xml"/><Relationship Id="rId51"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energie-environnement.ch/maison/renovation-et-chauffage/installations/panneaux-solaires-photovoltaiques" TargetMode="External"/><Relationship Id="rId1" Type="http://schemas.openxmlformats.org/officeDocument/2006/relationships/hyperlink" Target="https://www.solaire1300.ch/f/panneaux-energie-solaire/rayonnement-solaire-heure.as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omments" Target="../comments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hyperlink" Target="https://www.vs.ch/de/web/energie/home" TargetMode="External"/><Relationship Id="rId7" Type="http://schemas.openxmlformats.org/officeDocument/2006/relationships/ctrlProp" Target="../ctrlProps/ctrlProp4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5.bin"/><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omments" Target="../comments3.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ctrlProp" Target="../ctrlProps/ctrlProp95.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50" Type="http://schemas.openxmlformats.org/officeDocument/2006/relationships/ctrlProp" Target="../ctrlProps/ctrlProp142.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vmlDrawing" Target="../drawings/vmlDrawing7.v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drawing" Target="../drawings/drawing7.xml"/><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5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B053-0604-4AF3-B56E-B162479AFFF0}">
  <sheetPr codeName="Feuil4">
    <pageSetUpPr fitToPage="1"/>
  </sheetPr>
  <dimension ref="A1:X65"/>
  <sheetViews>
    <sheetView zoomScaleNormal="100" workbookViewId="0">
      <selection activeCell="F10" sqref="F10:S13"/>
    </sheetView>
  </sheetViews>
  <sheetFormatPr baseColWidth="10" defaultColWidth="0" defaultRowHeight="21"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x14ac:dyDescent="0.35"/>
    <row r="2" spans="2:20" ht="18.75" customHeight="1" x14ac:dyDescent="0.3">
      <c r="E2" s="446" t="s">
        <v>357</v>
      </c>
      <c r="F2" s="446"/>
      <c r="G2" s="446"/>
      <c r="H2" s="446"/>
      <c r="I2" s="446"/>
      <c r="J2" s="446"/>
      <c r="K2" s="446"/>
      <c r="L2" s="446"/>
      <c r="M2" s="446"/>
      <c r="N2" s="446"/>
      <c r="O2" s="446"/>
      <c r="P2" s="446"/>
      <c r="Q2" s="446"/>
      <c r="R2" s="446"/>
      <c r="S2" s="446"/>
      <c r="T2" s="353"/>
    </row>
    <row r="3" spans="2:20" ht="18.75" customHeight="1" x14ac:dyDescent="0.3">
      <c r="E3" s="446"/>
      <c r="F3" s="446"/>
      <c r="G3" s="446"/>
      <c r="H3" s="446"/>
      <c r="I3" s="446"/>
      <c r="J3" s="446"/>
      <c r="K3" s="446"/>
      <c r="L3" s="446"/>
      <c r="M3" s="446"/>
      <c r="N3" s="446"/>
      <c r="O3" s="446"/>
      <c r="P3" s="446"/>
      <c r="Q3" s="446"/>
      <c r="R3" s="446"/>
      <c r="S3" s="446"/>
      <c r="T3" s="353"/>
    </row>
    <row r="4" spans="2:20" ht="18.75" customHeight="1" x14ac:dyDescent="0.3">
      <c r="E4" s="446"/>
      <c r="F4" s="446"/>
      <c r="G4" s="446"/>
      <c r="H4" s="446"/>
      <c r="I4" s="446"/>
      <c r="J4" s="446"/>
      <c r="K4" s="446"/>
      <c r="L4" s="446"/>
      <c r="M4" s="446"/>
      <c r="N4" s="446"/>
      <c r="O4" s="446"/>
      <c r="P4" s="446"/>
      <c r="Q4" s="446"/>
      <c r="R4" s="446"/>
      <c r="S4" s="446"/>
      <c r="T4" s="353"/>
    </row>
    <row r="5" spans="2:20" ht="21.75" thickBot="1" x14ac:dyDescent="0.4">
      <c r="B5" s="354"/>
      <c r="C5" s="354"/>
      <c r="D5" s="354"/>
      <c r="E5" s="355"/>
      <c r="F5" s="355"/>
      <c r="G5" s="355"/>
      <c r="H5" s="355"/>
      <c r="I5" s="355"/>
      <c r="J5" s="355"/>
      <c r="K5" s="355"/>
      <c r="L5" s="355"/>
      <c r="M5" s="355"/>
      <c r="N5" s="355"/>
      <c r="O5" s="355"/>
      <c r="P5" s="356" t="s">
        <v>558</v>
      </c>
      <c r="Q5" s="447" t="s">
        <v>559</v>
      </c>
      <c r="R5" s="447"/>
      <c r="S5" s="447"/>
    </row>
    <row r="6" spans="2:20" x14ac:dyDescent="0.35"/>
    <row r="7" spans="2:20" x14ac:dyDescent="0.35">
      <c r="B7" s="448" t="s">
        <v>358</v>
      </c>
      <c r="C7" s="449"/>
      <c r="E7" s="357" t="s">
        <v>359</v>
      </c>
    </row>
    <row r="8" spans="2:20" x14ac:dyDescent="0.35">
      <c r="B8" s="450"/>
      <c r="C8" s="451"/>
      <c r="E8" s="358" t="s">
        <v>360</v>
      </c>
    </row>
    <row r="9" spans="2:20" ht="6" customHeight="1" x14ac:dyDescent="0.35">
      <c r="B9" s="450"/>
      <c r="C9" s="451"/>
      <c r="E9" s="358"/>
    </row>
    <row r="10" spans="2:20" ht="18.75" customHeight="1" x14ac:dyDescent="0.35">
      <c r="B10" s="450"/>
      <c r="C10" s="451"/>
      <c r="E10" s="359" t="s">
        <v>361</v>
      </c>
      <c r="F10" s="445" t="s">
        <v>362</v>
      </c>
      <c r="G10" s="445"/>
      <c r="H10" s="445"/>
      <c r="I10" s="445"/>
      <c r="J10" s="445"/>
      <c r="K10" s="445"/>
      <c r="L10" s="445"/>
      <c r="M10" s="445"/>
      <c r="N10" s="445"/>
      <c r="O10" s="445"/>
      <c r="P10" s="445"/>
      <c r="Q10" s="445"/>
      <c r="R10" s="445"/>
      <c r="S10" s="445"/>
      <c r="T10" s="361"/>
    </row>
    <row r="11" spans="2:20" ht="18.75" customHeight="1" x14ac:dyDescent="0.35">
      <c r="B11" s="450"/>
      <c r="C11" s="451"/>
      <c r="E11" s="359"/>
      <c r="F11" s="445"/>
      <c r="G11" s="445"/>
      <c r="H11" s="445"/>
      <c r="I11" s="445"/>
      <c r="J11" s="445"/>
      <c r="K11" s="445"/>
      <c r="L11" s="445"/>
      <c r="M11" s="445"/>
      <c r="N11" s="445"/>
      <c r="O11" s="445"/>
      <c r="P11" s="445"/>
      <c r="Q11" s="445"/>
      <c r="R11" s="445"/>
      <c r="S11" s="445"/>
      <c r="T11" s="361"/>
    </row>
    <row r="12" spans="2:20" ht="18.75" customHeight="1" x14ac:dyDescent="0.35">
      <c r="B12" s="450"/>
      <c r="C12" s="451"/>
      <c r="E12" s="359"/>
      <c r="F12" s="445"/>
      <c r="G12" s="445"/>
      <c r="H12" s="445"/>
      <c r="I12" s="445"/>
      <c r="J12" s="445"/>
      <c r="K12" s="445"/>
      <c r="L12" s="445"/>
      <c r="M12" s="445"/>
      <c r="N12" s="445"/>
      <c r="O12" s="445"/>
      <c r="P12" s="445"/>
      <c r="Q12" s="445"/>
      <c r="R12" s="445"/>
      <c r="S12" s="445"/>
      <c r="T12" s="361"/>
    </row>
    <row r="13" spans="2:20" x14ac:dyDescent="0.3">
      <c r="B13" s="450"/>
      <c r="C13" s="451"/>
      <c r="E13" s="362"/>
      <c r="F13" s="445"/>
      <c r="G13" s="445"/>
      <c r="H13" s="445"/>
      <c r="I13" s="445"/>
      <c r="J13" s="445"/>
      <c r="K13" s="445"/>
      <c r="L13" s="445"/>
      <c r="M13" s="445"/>
      <c r="N13" s="445"/>
      <c r="O13" s="445"/>
      <c r="P13" s="445"/>
      <c r="Q13" s="445"/>
      <c r="R13" s="445"/>
      <c r="S13" s="445"/>
      <c r="T13" s="361"/>
    </row>
    <row r="14" spans="2:20" ht="5.25" customHeight="1" x14ac:dyDescent="0.3">
      <c r="B14" s="450"/>
      <c r="C14" s="451"/>
      <c r="E14" s="362"/>
      <c r="F14" s="360"/>
      <c r="G14" s="360"/>
      <c r="H14" s="360"/>
      <c r="I14" s="360"/>
      <c r="J14" s="360"/>
      <c r="K14" s="360"/>
      <c r="L14" s="360"/>
      <c r="M14" s="360"/>
      <c r="N14" s="360"/>
      <c r="O14" s="360"/>
      <c r="P14" s="360"/>
      <c r="Q14" s="360"/>
      <c r="R14" s="360"/>
      <c r="S14" s="360"/>
      <c r="T14" s="360"/>
    </row>
    <row r="15" spans="2:20" ht="18.75" customHeight="1" x14ac:dyDescent="0.35">
      <c r="B15" s="450"/>
      <c r="C15" s="451"/>
      <c r="E15" s="359" t="s">
        <v>363</v>
      </c>
      <c r="F15" s="445" t="s">
        <v>364</v>
      </c>
      <c r="G15" s="445"/>
      <c r="H15" s="445"/>
      <c r="I15" s="445"/>
      <c r="J15" s="445"/>
      <c r="K15" s="445"/>
      <c r="L15" s="445"/>
      <c r="M15" s="445"/>
      <c r="N15" s="445"/>
      <c r="O15" s="445"/>
      <c r="P15" s="445"/>
      <c r="Q15" s="445"/>
      <c r="R15" s="445"/>
      <c r="S15" s="445"/>
      <c r="T15" s="361"/>
    </row>
    <row r="16" spans="2:20" ht="18.75" customHeight="1" x14ac:dyDescent="0.35">
      <c r="B16" s="450"/>
      <c r="C16" s="451"/>
      <c r="E16" s="359"/>
      <c r="F16" s="445"/>
      <c r="G16" s="445"/>
      <c r="H16" s="445"/>
      <c r="I16" s="445"/>
      <c r="J16" s="445"/>
      <c r="K16" s="445"/>
      <c r="L16" s="445"/>
      <c r="M16" s="445"/>
      <c r="N16" s="445"/>
      <c r="O16" s="445"/>
      <c r="P16" s="445"/>
      <c r="Q16" s="445"/>
      <c r="R16" s="445"/>
      <c r="S16" s="445"/>
      <c r="T16" s="361"/>
    </row>
    <row r="17" spans="2:20" x14ac:dyDescent="0.3">
      <c r="B17" s="452"/>
      <c r="C17" s="453"/>
      <c r="E17" s="362"/>
      <c r="F17" s="445"/>
      <c r="G17" s="445"/>
      <c r="H17" s="445"/>
      <c r="I17" s="445"/>
      <c r="J17" s="445"/>
      <c r="K17" s="445"/>
      <c r="L17" s="445"/>
      <c r="M17" s="445"/>
      <c r="N17" s="445"/>
      <c r="O17" s="445"/>
      <c r="P17" s="445"/>
      <c r="Q17" s="445"/>
      <c r="R17" s="445"/>
      <c r="S17" s="445"/>
      <c r="T17" s="361"/>
    </row>
    <row r="18" spans="2:20" x14ac:dyDescent="0.35"/>
    <row r="19" spans="2:20" x14ac:dyDescent="0.35">
      <c r="B19" s="439"/>
      <c r="C19" s="440"/>
      <c r="E19" s="357" t="s">
        <v>365</v>
      </c>
    </row>
    <row r="20" spans="2:20" x14ac:dyDescent="0.35">
      <c r="B20" s="441"/>
      <c r="C20" s="442"/>
      <c r="E20" s="358" t="s">
        <v>360</v>
      </c>
    </row>
    <row r="21" spans="2:20" ht="4.5" customHeight="1" x14ac:dyDescent="0.35">
      <c r="B21" s="441"/>
      <c r="C21" s="442"/>
      <c r="E21" s="358"/>
    </row>
    <row r="22" spans="2:20" ht="18.75" customHeight="1" x14ac:dyDescent="0.35">
      <c r="B22" s="441"/>
      <c r="C22" s="442"/>
      <c r="F22" s="445" t="s">
        <v>366</v>
      </c>
      <c r="G22" s="445"/>
      <c r="H22" s="445"/>
      <c r="I22" s="445"/>
      <c r="J22" s="445"/>
      <c r="K22" s="445"/>
      <c r="L22" s="445"/>
      <c r="M22" s="445"/>
      <c r="N22" s="445"/>
      <c r="O22" s="445"/>
      <c r="P22" s="445"/>
      <c r="Q22" s="445"/>
      <c r="R22" s="445"/>
      <c r="S22" s="445"/>
      <c r="T22" s="361"/>
    </row>
    <row r="23" spans="2:20" x14ac:dyDescent="0.3">
      <c r="B23" s="441"/>
      <c r="C23" s="442"/>
      <c r="E23" s="361"/>
      <c r="F23" s="445"/>
      <c r="G23" s="445"/>
      <c r="H23" s="445"/>
      <c r="I23" s="445"/>
      <c r="J23" s="445"/>
      <c r="K23" s="445"/>
      <c r="L23" s="445"/>
      <c r="M23" s="445"/>
      <c r="N23" s="445"/>
      <c r="O23" s="445"/>
      <c r="P23" s="445"/>
      <c r="Q23" s="445"/>
      <c r="R23" s="445"/>
      <c r="S23" s="445"/>
      <c r="T23" s="361"/>
    </row>
    <row r="24" spans="2:20" x14ac:dyDescent="0.3">
      <c r="B24" s="441"/>
      <c r="C24" s="442"/>
      <c r="E24" s="361"/>
      <c r="F24" s="445"/>
      <c r="G24" s="445"/>
      <c r="H24" s="445"/>
      <c r="I24" s="445"/>
      <c r="J24" s="445"/>
      <c r="K24" s="445"/>
      <c r="L24" s="445"/>
      <c r="M24" s="445"/>
      <c r="N24" s="445"/>
      <c r="O24" s="445"/>
      <c r="P24" s="445"/>
      <c r="Q24" s="445"/>
      <c r="R24" s="445"/>
      <c r="S24" s="445"/>
      <c r="T24" s="361"/>
    </row>
    <row r="25" spans="2:20" x14ac:dyDescent="0.3">
      <c r="B25" s="441"/>
      <c r="C25" s="442"/>
      <c r="E25" s="361"/>
      <c r="F25" s="445"/>
      <c r="G25" s="445"/>
      <c r="H25" s="445"/>
      <c r="I25" s="445"/>
      <c r="J25" s="445"/>
      <c r="K25" s="445"/>
      <c r="L25" s="445"/>
      <c r="M25" s="445"/>
      <c r="N25" s="445"/>
      <c r="O25" s="445"/>
      <c r="P25" s="445"/>
      <c r="Q25" s="445"/>
      <c r="R25" s="445"/>
      <c r="S25" s="445"/>
      <c r="T25" s="361"/>
    </row>
    <row r="26" spans="2:20" x14ac:dyDescent="0.3">
      <c r="B26" s="441"/>
      <c r="C26" s="442"/>
      <c r="E26" s="361"/>
      <c r="F26" s="445"/>
      <c r="G26" s="445"/>
      <c r="H26" s="445"/>
      <c r="I26" s="445"/>
      <c r="J26" s="445"/>
      <c r="K26" s="445"/>
      <c r="L26" s="445"/>
      <c r="M26" s="445"/>
      <c r="N26" s="445"/>
      <c r="O26" s="445"/>
      <c r="P26" s="445"/>
      <c r="Q26" s="445"/>
      <c r="R26" s="445"/>
      <c r="S26" s="445"/>
      <c r="T26" s="361"/>
    </row>
    <row r="27" spans="2:20" x14ac:dyDescent="0.3">
      <c r="B27" s="441"/>
      <c r="C27" s="442"/>
      <c r="E27" s="361"/>
      <c r="F27" s="445"/>
      <c r="G27" s="445"/>
      <c r="H27" s="445"/>
      <c r="I27" s="445"/>
      <c r="J27" s="445"/>
      <c r="K27" s="445"/>
      <c r="L27" s="445"/>
      <c r="M27" s="445"/>
      <c r="N27" s="445"/>
      <c r="O27" s="445"/>
      <c r="P27" s="445"/>
      <c r="Q27" s="445"/>
      <c r="R27" s="445"/>
      <c r="S27" s="445"/>
      <c r="T27" s="361"/>
    </row>
    <row r="28" spans="2:20" x14ac:dyDescent="0.3">
      <c r="B28" s="441"/>
      <c r="C28" s="442"/>
      <c r="E28" s="361"/>
      <c r="F28" s="445"/>
      <c r="G28" s="445"/>
      <c r="H28" s="445"/>
      <c r="I28" s="445"/>
      <c r="J28" s="445"/>
      <c r="K28" s="445"/>
      <c r="L28" s="445"/>
      <c r="M28" s="445"/>
      <c r="N28" s="445"/>
      <c r="O28" s="445"/>
      <c r="P28" s="445"/>
      <c r="Q28" s="445"/>
      <c r="R28" s="445"/>
      <c r="S28" s="445"/>
      <c r="T28" s="361"/>
    </row>
    <row r="29" spans="2:20" x14ac:dyDescent="0.3">
      <c r="B29" s="443"/>
      <c r="C29" s="444"/>
      <c r="E29" s="361"/>
      <c r="F29" s="445"/>
      <c r="G29" s="445"/>
      <c r="H29" s="445"/>
      <c r="I29" s="445"/>
      <c r="J29" s="445"/>
      <c r="K29" s="445"/>
      <c r="L29" s="445"/>
      <c r="M29" s="445"/>
      <c r="N29" s="445"/>
      <c r="O29" s="445"/>
      <c r="P29" s="445"/>
      <c r="Q29" s="445"/>
      <c r="R29" s="445"/>
      <c r="S29" s="445"/>
      <c r="T29" s="361"/>
    </row>
    <row r="30" spans="2:20" x14ac:dyDescent="0.3">
      <c r="E30" s="360"/>
      <c r="F30" s="360"/>
      <c r="G30" s="360"/>
      <c r="H30" s="360"/>
      <c r="I30" s="360"/>
      <c r="J30" s="360"/>
      <c r="K30" s="360"/>
      <c r="L30" s="360"/>
      <c r="M30" s="360"/>
      <c r="N30" s="360"/>
      <c r="O30" s="360"/>
      <c r="P30" s="360"/>
      <c r="Q30" s="360"/>
      <c r="R30" s="360"/>
      <c r="S30" s="360"/>
      <c r="T30" s="360"/>
    </row>
    <row r="31" spans="2:20" x14ac:dyDescent="0.35">
      <c r="B31" s="439"/>
      <c r="C31" s="440"/>
      <c r="E31" s="357" t="s">
        <v>367</v>
      </c>
    </row>
    <row r="32" spans="2:20" ht="5.25" customHeight="1" x14ac:dyDescent="0.35">
      <c r="B32" s="441"/>
      <c r="C32" s="442"/>
      <c r="E32" s="357"/>
    </row>
    <row r="33" spans="2:20" x14ac:dyDescent="0.35">
      <c r="B33" s="441"/>
      <c r="C33" s="442"/>
      <c r="E33" s="359" t="s">
        <v>361</v>
      </c>
      <c r="F33" s="352" t="s">
        <v>560</v>
      </c>
    </row>
    <row r="34" spans="2:20" ht="5.25" customHeight="1" x14ac:dyDescent="0.35">
      <c r="B34" s="441"/>
      <c r="C34" s="442"/>
      <c r="E34" s="359"/>
    </row>
    <row r="35" spans="2:20" x14ac:dyDescent="0.35">
      <c r="B35" s="441"/>
      <c r="C35" s="442"/>
      <c r="E35" s="359" t="s">
        <v>363</v>
      </c>
      <c r="F35" s="352" t="s">
        <v>561</v>
      </c>
    </row>
    <row r="36" spans="2:20" ht="6" customHeight="1" x14ac:dyDescent="0.35">
      <c r="B36" s="441"/>
      <c r="C36" s="442"/>
      <c r="E36" s="359"/>
    </row>
    <row r="37" spans="2:20" ht="21" customHeight="1" x14ac:dyDescent="0.35">
      <c r="B37" s="441"/>
      <c r="C37" s="442"/>
      <c r="E37" s="359" t="s">
        <v>368</v>
      </c>
      <c r="F37" s="445" t="s">
        <v>369</v>
      </c>
      <c r="G37" s="445"/>
      <c r="H37" s="445"/>
      <c r="I37" s="445"/>
      <c r="J37" s="445"/>
      <c r="K37" s="445"/>
      <c r="L37" s="445"/>
      <c r="M37" s="445"/>
      <c r="N37" s="445"/>
      <c r="O37" s="445"/>
      <c r="P37" s="445"/>
      <c r="Q37" s="445"/>
      <c r="R37" s="445"/>
      <c r="S37" s="445"/>
      <c r="T37" s="361"/>
    </row>
    <row r="38" spans="2:20" x14ac:dyDescent="0.35">
      <c r="B38" s="443"/>
      <c r="C38" s="444"/>
      <c r="E38" s="363"/>
      <c r="F38" s="445"/>
      <c r="G38" s="445"/>
      <c r="H38" s="445"/>
      <c r="I38" s="445"/>
      <c r="J38" s="445"/>
      <c r="K38" s="445"/>
      <c r="L38" s="445"/>
      <c r="M38" s="445"/>
      <c r="N38" s="445"/>
      <c r="O38" s="445"/>
      <c r="P38" s="445"/>
      <c r="Q38" s="445"/>
      <c r="R38" s="445"/>
      <c r="S38" s="445"/>
      <c r="T38" s="361"/>
    </row>
    <row r="39" spans="2:20" x14ac:dyDescent="0.35">
      <c r="F39" s="445"/>
      <c r="G39" s="445"/>
      <c r="H39" s="445"/>
      <c r="I39" s="445"/>
      <c r="J39" s="445"/>
      <c r="K39" s="445"/>
      <c r="L39" s="445"/>
      <c r="M39" s="445"/>
      <c r="N39" s="445"/>
      <c r="O39" s="445"/>
      <c r="P39" s="445"/>
      <c r="Q39" s="445"/>
      <c r="R39" s="445"/>
      <c r="S39" s="445"/>
    </row>
    <row r="40" spans="2:20" x14ac:dyDescent="0.35">
      <c r="B40" s="439"/>
      <c r="C40" s="440"/>
      <c r="E40" s="357" t="s">
        <v>370</v>
      </c>
      <c r="F40" s="357"/>
    </row>
    <row r="41" spans="2:20" x14ac:dyDescent="0.35">
      <c r="B41" s="441"/>
      <c r="C41" s="442"/>
    </row>
    <row r="42" spans="2:20" x14ac:dyDescent="0.35">
      <c r="B42" s="441"/>
      <c r="C42" s="442"/>
      <c r="E42" s="466"/>
      <c r="F42" s="467"/>
      <c r="G42" s="468"/>
      <c r="I42" s="352" t="s">
        <v>371</v>
      </c>
    </row>
    <row r="43" spans="2:20" x14ac:dyDescent="0.35">
      <c r="B43" s="441"/>
      <c r="C43" s="442"/>
    </row>
    <row r="44" spans="2:20" x14ac:dyDescent="0.35">
      <c r="B44" s="441"/>
      <c r="C44" s="442"/>
      <c r="G44" s="364"/>
      <c r="I44" s="352" t="s">
        <v>372</v>
      </c>
    </row>
    <row r="45" spans="2:20" x14ac:dyDescent="0.35">
      <c r="B45" s="441"/>
      <c r="C45" s="442"/>
    </row>
    <row r="46" spans="2:20" x14ac:dyDescent="0.35">
      <c r="B46" s="441"/>
      <c r="C46" s="442"/>
      <c r="G46" s="364"/>
      <c r="I46" s="352" t="s">
        <v>373</v>
      </c>
    </row>
    <row r="47" spans="2:20" x14ac:dyDescent="0.35">
      <c r="B47" s="441"/>
      <c r="C47" s="442"/>
    </row>
    <row r="48" spans="2:20" x14ac:dyDescent="0.35">
      <c r="B48" s="441"/>
      <c r="C48" s="442"/>
      <c r="E48" s="364"/>
      <c r="F48" s="365" t="s">
        <v>390</v>
      </c>
      <c r="I48" s="445" t="s">
        <v>391</v>
      </c>
      <c r="J48" s="445"/>
      <c r="K48" s="445"/>
      <c r="L48" s="445"/>
      <c r="M48" s="445"/>
      <c r="N48" s="445"/>
      <c r="O48" s="445"/>
      <c r="P48" s="445"/>
      <c r="Q48" s="445"/>
      <c r="R48" s="445"/>
      <c r="S48" s="445"/>
    </row>
    <row r="49" spans="2:19" x14ac:dyDescent="0.35">
      <c r="B49" s="441"/>
      <c r="C49" s="442"/>
      <c r="F49" s="365"/>
      <c r="I49" s="445"/>
      <c r="J49" s="445"/>
      <c r="K49" s="445"/>
      <c r="L49" s="445"/>
      <c r="M49" s="445"/>
      <c r="N49" s="445"/>
      <c r="O49" s="445"/>
      <c r="P49" s="445"/>
      <c r="Q49" s="445"/>
      <c r="R49" s="445"/>
      <c r="S49" s="445"/>
    </row>
    <row r="50" spans="2:19" x14ac:dyDescent="0.35">
      <c r="B50" s="441"/>
      <c r="C50" s="442"/>
    </row>
    <row r="51" spans="2:19" x14ac:dyDescent="0.35">
      <c r="B51" s="441"/>
      <c r="C51" s="442"/>
      <c r="E51" s="469"/>
      <c r="F51" s="470"/>
      <c r="G51" s="471"/>
      <c r="I51" s="352" t="s">
        <v>374</v>
      </c>
    </row>
    <row r="52" spans="2:19" x14ac:dyDescent="0.35">
      <c r="B52" s="441"/>
      <c r="C52" s="442"/>
    </row>
    <row r="53" spans="2:19" ht="21" customHeight="1" x14ac:dyDescent="0.35">
      <c r="B53" s="441"/>
      <c r="C53" s="442"/>
      <c r="F53" s="472"/>
      <c r="G53" s="473"/>
      <c r="I53" s="445" t="s">
        <v>392</v>
      </c>
      <c r="J53" s="445"/>
      <c r="K53" s="445"/>
      <c r="L53" s="445"/>
      <c r="M53" s="445"/>
      <c r="N53" s="445"/>
      <c r="O53" s="445"/>
      <c r="P53" s="445"/>
      <c r="Q53" s="445"/>
      <c r="R53" s="445"/>
      <c r="S53" s="445"/>
    </row>
    <row r="54" spans="2:19" x14ac:dyDescent="0.35">
      <c r="B54" s="441"/>
      <c r="C54" s="442"/>
      <c r="F54" s="474"/>
      <c r="G54" s="475"/>
      <c r="I54" s="445"/>
      <c r="J54" s="445"/>
      <c r="K54" s="445"/>
      <c r="L54" s="445"/>
      <c r="M54" s="445"/>
      <c r="N54" s="445"/>
      <c r="O54" s="445"/>
      <c r="P54" s="445"/>
      <c r="Q54" s="445"/>
      <c r="R54" s="445"/>
      <c r="S54" s="445"/>
    </row>
    <row r="55" spans="2:19" x14ac:dyDescent="0.35">
      <c r="B55" s="441"/>
      <c r="C55" s="442"/>
      <c r="F55" s="366"/>
      <c r="G55" s="366"/>
      <c r="I55" s="445"/>
      <c r="J55" s="445"/>
      <c r="K55" s="445"/>
      <c r="L55" s="445"/>
      <c r="M55" s="445"/>
      <c r="N55" s="445"/>
      <c r="O55" s="445"/>
      <c r="P55" s="445"/>
      <c r="Q55" s="445"/>
      <c r="R55" s="445"/>
      <c r="S55" s="445"/>
    </row>
    <row r="56" spans="2:19" x14ac:dyDescent="0.35">
      <c r="B56" s="441"/>
      <c r="C56" s="442"/>
    </row>
    <row r="57" spans="2:19" ht="21" customHeight="1" x14ac:dyDescent="0.35">
      <c r="B57" s="441"/>
      <c r="C57" s="442"/>
      <c r="E57" s="476" t="s">
        <v>375</v>
      </c>
      <c r="F57" s="477"/>
      <c r="G57" s="478"/>
      <c r="I57" s="445" t="s">
        <v>376</v>
      </c>
      <c r="J57" s="445"/>
      <c r="K57" s="445"/>
      <c r="L57" s="445"/>
      <c r="M57" s="445"/>
      <c r="N57" s="445"/>
      <c r="O57" s="445"/>
      <c r="P57" s="445"/>
      <c r="Q57" s="445"/>
      <c r="R57" s="445"/>
      <c r="S57" s="445"/>
    </row>
    <row r="58" spans="2:19" x14ac:dyDescent="0.35">
      <c r="B58" s="441"/>
      <c r="C58" s="442"/>
      <c r="E58" s="479"/>
      <c r="F58" s="480"/>
      <c r="G58" s="481"/>
      <c r="I58" s="445"/>
      <c r="J58" s="445"/>
      <c r="K58" s="445"/>
      <c r="L58" s="445"/>
      <c r="M58" s="445"/>
      <c r="N58" s="445"/>
      <c r="O58" s="445"/>
      <c r="P58" s="445"/>
      <c r="Q58" s="445"/>
      <c r="R58" s="445"/>
      <c r="S58" s="445"/>
    </row>
    <row r="59" spans="2:19" x14ac:dyDescent="0.35">
      <c r="B59" s="441"/>
      <c r="C59" s="442"/>
      <c r="E59" s="357"/>
      <c r="F59" s="357"/>
      <c r="G59" s="357"/>
    </row>
    <row r="60" spans="2:19" ht="21" customHeight="1" x14ac:dyDescent="0.35">
      <c r="B60" s="441"/>
      <c r="C60" s="442"/>
      <c r="E60" s="454" t="s">
        <v>377</v>
      </c>
      <c r="F60" s="455"/>
      <c r="G60" s="456"/>
      <c r="I60" s="445" t="s">
        <v>378</v>
      </c>
      <c r="J60" s="445"/>
      <c r="K60" s="445"/>
      <c r="L60" s="445"/>
      <c r="M60" s="445"/>
      <c r="N60" s="445"/>
      <c r="O60" s="445"/>
      <c r="P60" s="445"/>
      <c r="Q60" s="445"/>
      <c r="R60" s="445"/>
      <c r="S60" s="445"/>
    </row>
    <row r="61" spans="2:19" x14ac:dyDescent="0.35">
      <c r="B61" s="441"/>
      <c r="C61" s="442"/>
      <c r="E61" s="457"/>
      <c r="F61" s="458"/>
      <c r="G61" s="459"/>
      <c r="I61" s="445"/>
      <c r="J61" s="445"/>
      <c r="K61" s="445"/>
      <c r="L61" s="445"/>
      <c r="M61" s="445"/>
      <c r="N61" s="445"/>
      <c r="O61" s="445"/>
      <c r="P61" s="445"/>
      <c r="Q61" s="445"/>
      <c r="R61" s="445"/>
      <c r="S61" s="445"/>
    </row>
    <row r="62" spans="2:19" x14ac:dyDescent="0.35">
      <c r="B62" s="441"/>
      <c r="C62" s="442"/>
      <c r="E62" s="357"/>
      <c r="F62" s="357"/>
      <c r="G62" s="357"/>
    </row>
    <row r="63" spans="2:19" x14ac:dyDescent="0.35">
      <c r="B63" s="441"/>
      <c r="C63" s="442"/>
      <c r="E63" s="460" t="s">
        <v>377</v>
      </c>
      <c r="F63" s="461"/>
      <c r="G63" s="462"/>
      <c r="I63" s="367" t="s">
        <v>379</v>
      </c>
    </row>
    <row r="64" spans="2:19" x14ac:dyDescent="0.35">
      <c r="B64" s="443"/>
      <c r="C64" s="444"/>
      <c r="E64" s="463"/>
      <c r="F64" s="464"/>
      <c r="G64" s="465"/>
      <c r="I64" s="367"/>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696FEE8A-7D08-41A4-87C2-579D61904E36}"/>
    <hyperlink ref="B7:C17" r:id="rId2" display="https://www.vs.ch/web/energie/exigences-énergétiques-pour-les-bâtiments" xr:uid="{82004063-76EB-40CC-92A6-9104E127632D}"/>
    <hyperlink ref="Q5" r:id="rId3" xr:uid="{417A6562-2BD1-4A6A-BDF4-0BFD1AD5D8E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4817"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34818"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34819"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BP246"/>
  <sheetViews>
    <sheetView topLeftCell="A118" workbookViewId="0">
      <selection activeCell="T29" sqref="T29:U29"/>
    </sheetView>
  </sheetViews>
  <sheetFormatPr baseColWidth="10" defaultColWidth="15.83203125" defaultRowHeight="13.35" customHeight="1"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208" customWidth="1"/>
    <col min="37" max="37" width="13.1640625" style="208" customWidth="1"/>
    <col min="38" max="38" width="14.33203125" style="208" customWidth="1"/>
    <col min="39" max="39" width="8.83203125" style="208" customWidth="1"/>
    <col min="40" max="40" width="23.33203125" style="208" customWidth="1"/>
    <col min="41" max="41" width="6.33203125" style="208" customWidth="1"/>
    <col min="42" max="42" width="15" style="208" customWidth="1"/>
    <col min="43" max="43" width="6.33203125" style="208" customWidth="1"/>
    <col min="44" max="68" width="2.83203125" style="208" customWidth="1"/>
    <col min="69" max="1455" width="2.83203125" style="209" customWidth="1"/>
    <col min="1456" max="4700" width="15.83203125" style="209" customWidth="1"/>
    <col min="4701" max="4702" width="0.33203125" style="209" customWidth="1"/>
    <col min="4703" max="16384" width="15.83203125" style="209"/>
  </cols>
  <sheetData>
    <row r="1" spans="2:49"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50"/>
      <c r="AK1" s="150"/>
      <c r="AL1" s="150"/>
      <c r="AM1" s="150"/>
      <c r="AN1" s="150"/>
      <c r="AO1" s="150"/>
      <c r="AP1" s="150"/>
      <c r="AQ1" s="150"/>
      <c r="AR1" s="150"/>
      <c r="AS1" s="150"/>
      <c r="AT1" s="150"/>
      <c r="AU1" s="150"/>
      <c r="AV1" s="150"/>
      <c r="AW1" s="150"/>
    </row>
    <row r="2" spans="2:49" ht="16.5" customHeight="1" x14ac:dyDescent="0.2">
      <c r="B2" s="620"/>
      <c r="C2" s="621"/>
      <c r="D2" s="621"/>
      <c r="E2" s="621"/>
      <c r="F2" s="622"/>
      <c r="G2" s="629" t="s">
        <v>36</v>
      </c>
      <c r="H2" s="630"/>
      <c r="I2" s="630"/>
      <c r="J2" s="630"/>
      <c r="K2" s="630"/>
      <c r="L2" s="630"/>
      <c r="M2" s="630"/>
      <c r="N2" s="630"/>
      <c r="O2" s="631"/>
      <c r="P2" s="638" t="s">
        <v>76</v>
      </c>
      <c r="Q2" s="639"/>
      <c r="R2" s="639"/>
      <c r="S2" s="639"/>
      <c r="T2" s="639"/>
      <c r="U2" s="639"/>
      <c r="V2" s="639"/>
      <c r="W2" s="639"/>
      <c r="X2" s="639"/>
      <c r="Y2" s="640"/>
      <c r="Z2" s="647" t="s">
        <v>172</v>
      </c>
      <c r="AA2" s="648"/>
      <c r="AB2" s="648"/>
      <c r="AC2" s="648"/>
      <c r="AD2" s="648"/>
      <c r="AE2" s="648"/>
      <c r="AF2" s="648"/>
      <c r="AG2" s="648"/>
      <c r="AH2" s="649"/>
      <c r="AJ2" s="150"/>
      <c r="AK2" s="150"/>
      <c r="AL2" s="150"/>
      <c r="AM2" s="150"/>
      <c r="AN2" s="150"/>
      <c r="AO2" s="150"/>
      <c r="AP2" s="150"/>
      <c r="AQ2" s="150"/>
      <c r="AR2" s="150"/>
      <c r="AS2" s="150"/>
      <c r="AT2" s="150"/>
      <c r="AU2" s="150"/>
      <c r="AV2" s="150"/>
      <c r="AW2" s="150"/>
    </row>
    <row r="3" spans="2:49"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c r="AJ3" s="150"/>
      <c r="AK3" s="150"/>
      <c r="AL3" s="150"/>
      <c r="AM3" s="150"/>
      <c r="AN3" s="150"/>
      <c r="AO3" s="150"/>
      <c r="AP3" s="150"/>
      <c r="AQ3" s="150"/>
      <c r="AR3" s="150"/>
      <c r="AS3" s="150"/>
      <c r="AT3" s="150"/>
      <c r="AU3" s="150"/>
      <c r="AV3" s="150"/>
      <c r="AW3" s="150"/>
    </row>
    <row r="4" spans="2:49"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c r="AJ4" s="150"/>
      <c r="AK4" s="150"/>
      <c r="AL4" s="150"/>
      <c r="AM4" s="150"/>
      <c r="AN4" s="150"/>
      <c r="AO4" s="150"/>
      <c r="AP4" s="150"/>
      <c r="AQ4" s="150"/>
      <c r="AR4" s="150"/>
      <c r="AS4" s="150"/>
      <c r="AT4" s="150"/>
      <c r="AU4" s="150"/>
      <c r="AV4" s="150"/>
      <c r="AW4" s="150"/>
    </row>
    <row r="5" spans="2:49"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c r="AJ5" s="150"/>
      <c r="AK5" s="150"/>
      <c r="AL5" s="150"/>
      <c r="AM5" s="150"/>
      <c r="AN5" s="150"/>
      <c r="AO5" s="150"/>
      <c r="AP5" s="150"/>
      <c r="AQ5" s="150"/>
      <c r="AR5" s="150"/>
      <c r="AS5" s="150"/>
      <c r="AT5" s="150"/>
      <c r="AU5" s="150"/>
      <c r="AV5" s="150"/>
      <c r="AW5" s="150"/>
    </row>
    <row r="6" spans="2:49"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J6" s="150"/>
      <c r="AK6" s="150"/>
      <c r="AL6" s="150"/>
      <c r="AM6" s="150"/>
      <c r="AN6" s="150"/>
      <c r="AO6" s="150"/>
      <c r="AP6" s="150"/>
      <c r="AQ6" s="150"/>
      <c r="AR6" s="150"/>
      <c r="AS6" s="150"/>
      <c r="AT6" s="150"/>
      <c r="AU6" s="150"/>
      <c r="AV6" s="150"/>
      <c r="AW6" s="150"/>
    </row>
    <row r="7" spans="2:49" ht="16.350000000000001" customHeight="1" x14ac:dyDescent="0.2">
      <c r="B7" s="558" t="s">
        <v>0</v>
      </c>
      <c r="C7" s="558"/>
      <c r="D7" s="558"/>
      <c r="E7" s="656"/>
      <c r="F7" s="764"/>
      <c r="G7" s="578"/>
      <c r="H7" s="578"/>
      <c r="I7" s="578"/>
      <c r="J7" s="578"/>
      <c r="K7" s="578"/>
      <c r="L7" s="578"/>
      <c r="M7" s="578"/>
      <c r="N7" s="578"/>
      <c r="O7" s="578"/>
      <c r="P7" s="765"/>
      <c r="Q7" s="657" t="s">
        <v>110</v>
      </c>
      <c r="R7" s="493"/>
      <c r="S7" s="493"/>
      <c r="T7" s="658"/>
      <c r="U7" s="764"/>
      <c r="V7" s="578"/>
      <c r="W7" s="578"/>
      <c r="X7" s="578"/>
      <c r="Y7" s="578"/>
      <c r="Z7" s="765"/>
      <c r="AA7" s="28"/>
      <c r="AB7" s="28"/>
      <c r="AC7" s="19"/>
      <c r="AD7" s="43" t="s">
        <v>80</v>
      </c>
      <c r="AE7" s="612"/>
      <c r="AF7" s="613"/>
      <c r="AG7" s="613"/>
      <c r="AH7" s="614"/>
      <c r="AJ7" s="150"/>
      <c r="AK7" s="150"/>
      <c r="AL7" s="150"/>
      <c r="AM7" s="150"/>
      <c r="AN7" s="150"/>
      <c r="AO7" s="150"/>
      <c r="AP7" s="150"/>
      <c r="AQ7" s="150"/>
      <c r="AR7" s="150"/>
      <c r="AS7" s="150"/>
      <c r="AT7" s="150"/>
      <c r="AU7" s="150"/>
      <c r="AV7" s="150"/>
      <c r="AW7" s="150"/>
    </row>
    <row r="8" spans="2:49"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J8" s="150"/>
      <c r="AK8" s="150"/>
      <c r="AL8" s="150"/>
      <c r="AM8" s="150"/>
      <c r="AN8" s="150"/>
      <c r="AO8" s="150"/>
      <c r="AP8" s="150"/>
      <c r="AQ8" s="150"/>
      <c r="AR8" s="150"/>
      <c r="AS8" s="150"/>
      <c r="AT8" s="150"/>
      <c r="AU8" s="150"/>
      <c r="AV8" s="150"/>
      <c r="AW8" s="150"/>
    </row>
    <row r="9" spans="2:49" ht="16.5" customHeight="1" x14ac:dyDescent="0.2">
      <c r="B9" s="558" t="s">
        <v>1</v>
      </c>
      <c r="C9" s="558"/>
      <c r="D9" s="558"/>
      <c r="E9" s="28"/>
      <c r="F9" s="612"/>
      <c r="G9" s="613"/>
      <c r="H9" s="613"/>
      <c r="I9" s="613"/>
      <c r="J9" s="613"/>
      <c r="K9" s="613"/>
      <c r="L9" s="613"/>
      <c r="M9" s="613"/>
      <c r="N9" s="613"/>
      <c r="O9" s="613"/>
      <c r="P9" s="613"/>
      <c r="Q9" s="613"/>
      <c r="R9" s="613"/>
      <c r="S9" s="613"/>
      <c r="T9" s="613"/>
      <c r="U9" s="613"/>
      <c r="V9" s="613"/>
      <c r="W9" s="613"/>
      <c r="X9" s="613"/>
      <c r="Y9" s="613"/>
      <c r="Z9" s="614"/>
      <c r="AA9" s="28"/>
      <c r="AB9" s="28"/>
      <c r="AC9" s="19"/>
      <c r="AD9" s="43" t="s">
        <v>111</v>
      </c>
      <c r="AE9" s="612"/>
      <c r="AF9" s="613"/>
      <c r="AG9" s="613"/>
      <c r="AH9" s="614"/>
      <c r="AJ9" s="150"/>
      <c r="AK9" s="150"/>
      <c r="AL9" s="150"/>
      <c r="AM9" s="150"/>
      <c r="AN9" s="150"/>
      <c r="AO9" s="150"/>
      <c r="AP9" s="150"/>
      <c r="AQ9" s="150"/>
      <c r="AR9" s="150"/>
      <c r="AS9" s="150"/>
      <c r="AT9" s="150"/>
      <c r="AU9" s="150"/>
      <c r="AV9" s="150"/>
      <c r="AW9" s="150"/>
    </row>
    <row r="10" spans="2:49"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J10" s="150"/>
      <c r="AK10" s="150"/>
      <c r="AL10" s="150"/>
      <c r="AM10" s="150"/>
      <c r="AN10" s="150"/>
      <c r="AO10" s="150"/>
      <c r="AP10" s="150"/>
      <c r="AQ10" s="150"/>
      <c r="AR10" s="150"/>
      <c r="AS10" s="150"/>
      <c r="AT10" s="150"/>
      <c r="AU10" s="150"/>
      <c r="AV10" s="150"/>
      <c r="AW10" s="150"/>
    </row>
    <row r="11" spans="2:49"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J11" s="150"/>
      <c r="AK11" s="150"/>
      <c r="AL11" s="150"/>
      <c r="AM11" s="150"/>
      <c r="AN11" s="150"/>
      <c r="AO11" s="150"/>
      <c r="AP11" s="150"/>
      <c r="AQ11" s="150"/>
      <c r="AR11" s="150"/>
      <c r="AS11" s="150"/>
      <c r="AT11" s="150"/>
      <c r="AU11" s="150"/>
      <c r="AV11" s="150"/>
      <c r="AW11" s="150"/>
    </row>
    <row r="12" spans="2:49" ht="16.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208">
        <v>0</v>
      </c>
    </row>
    <row r="13" spans="2:49"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49"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49"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49"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208" t="b">
        <v>0</v>
      </c>
      <c r="AK17" s="208" t="b">
        <v>0</v>
      </c>
      <c r="AL17" s="208"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208" t="b">
        <v>1</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208">
        <v>0</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208" t="s">
        <v>83</v>
      </c>
      <c r="AN27" s="210">
        <v>1100</v>
      </c>
      <c r="AO27" s="208" t="str">
        <f>IF(AO31=1,"Projet soumis",IF(AO30=0,"projet exempté",IF(AND(AO29=1,AO33=1),"Projet exempté","Projet soumis")))</f>
        <v>projet exempté</v>
      </c>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row>
    <row r="29" spans="2:42" ht="15.75" customHeight="1" x14ac:dyDescent="0.2">
      <c r="B29" s="28"/>
      <c r="C29" s="26"/>
      <c r="D29" s="26"/>
      <c r="E29" s="28" t="s">
        <v>81</v>
      </c>
      <c r="F29" s="27"/>
      <c r="G29" s="27"/>
      <c r="H29" s="763"/>
      <c r="I29" s="763"/>
      <c r="J29" s="763"/>
      <c r="K29" s="144" t="s">
        <v>112</v>
      </c>
      <c r="L29" s="27"/>
      <c r="M29" s="28" t="s">
        <v>37</v>
      </c>
      <c r="N29" s="28"/>
      <c r="O29" s="28"/>
      <c r="P29" s="28"/>
      <c r="Q29" s="763"/>
      <c r="R29" s="763"/>
      <c r="S29" s="763"/>
      <c r="T29" s="482" t="s">
        <v>112</v>
      </c>
      <c r="U29" s="482"/>
      <c r="V29" s="28" t="s">
        <v>38</v>
      </c>
      <c r="W29" s="28"/>
      <c r="X29" s="608" t="str">
        <f>IF(Q29=0,"-", IF(AJ29&gt;20,"&gt;20","&lt;20"))</f>
        <v>-</v>
      </c>
      <c r="Y29" s="608"/>
      <c r="Z29" s="27" t="s">
        <v>39</v>
      </c>
      <c r="AA29" s="27"/>
      <c r="AB29" s="28"/>
      <c r="AD29" s="28"/>
      <c r="AE29" s="28" t="str">
        <f>IF(AND(H29=0,Q29=0),"",IF(AJ31=TRUE,"Projet exempté",IF(AO31=1,"Projet soumis",IF(AO30=0,"Projet exempté",IF(AND(AO29=1,AO33=1),"Projet exempté","Projet soumis")))))</f>
        <v/>
      </c>
      <c r="AG29" s="28"/>
      <c r="AI29" s="18"/>
      <c r="AJ29" s="211">
        <f>IF(Q29=0,100,H29/Q29*100)</f>
        <v>100</v>
      </c>
      <c r="AK29" s="208" t="s">
        <v>121</v>
      </c>
      <c r="AO29" s="208">
        <f>IF(H29&lt;1000,1,0)</f>
        <v>1</v>
      </c>
      <c r="AP29" s="208" t="s">
        <v>116</v>
      </c>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208">
        <f>IF(H29&gt;50,1,0)</f>
        <v>0</v>
      </c>
      <c r="AP30" s="208" t="s">
        <v>117</v>
      </c>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208" t="b">
        <v>0</v>
      </c>
      <c r="AO31" s="208">
        <f>IF(AND(H29&lt;&gt;0,Q29=0),1,0)</f>
        <v>0</v>
      </c>
      <c r="AP31" s="208" t="s">
        <v>118</v>
      </c>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208">
        <f>IF(Q29=0,100, H29/Q29*100)</f>
        <v>100</v>
      </c>
      <c r="AP32" s="208" t="s">
        <v>119</v>
      </c>
    </row>
    <row r="33" spans="2:42" ht="15.75" customHeight="1" x14ac:dyDescent="0.2">
      <c r="B33" s="18"/>
      <c r="C33" s="36"/>
      <c r="D33" s="18"/>
      <c r="E33" s="610" t="str">
        <f>IF(AJ31=TRUE,"Fournir le certificat du label Minergie ou le certificat CECB A/A version provisoire","")</f>
        <v/>
      </c>
      <c r="F33" s="610"/>
      <c r="G33" s="610"/>
      <c r="H33" s="610"/>
      <c r="I33" s="610"/>
      <c r="J33" s="610"/>
      <c r="K33" s="610"/>
      <c r="L33" s="610"/>
      <c r="M33" s="610"/>
      <c r="N33" s="610"/>
      <c r="O33" s="610"/>
      <c r="P33" s="610"/>
      <c r="Q33" s="610"/>
      <c r="R33" s="182" t="s">
        <v>51</v>
      </c>
      <c r="T33" s="18"/>
      <c r="U33" s="30"/>
      <c r="V33" s="18"/>
      <c r="W33" s="18"/>
      <c r="X33" s="18"/>
      <c r="Y33" s="18"/>
      <c r="Z33" s="18"/>
      <c r="AA33" s="99"/>
      <c r="AB33" s="28"/>
      <c r="AC33" s="617">
        <f>IF(AJ33&gt;30,30,AJ33)</f>
        <v>0</v>
      </c>
      <c r="AD33" s="617"/>
      <c r="AE33" s="617"/>
      <c r="AF33" s="496" t="s">
        <v>79</v>
      </c>
      <c r="AG33" s="496"/>
      <c r="AH33" s="74"/>
      <c r="AJ33" s="212">
        <f>IF(AE29="Projet exempté",0,20*H29/1000)</f>
        <v>0</v>
      </c>
      <c r="AK33" s="208" t="s">
        <v>82</v>
      </c>
      <c r="AO33" s="208">
        <f>IF(AO32&gt;20,0,1)</f>
        <v>0</v>
      </c>
      <c r="AP33" s="208" t="s">
        <v>120</v>
      </c>
    </row>
    <row r="34" spans="2:42" ht="15.75" customHeight="1" x14ac:dyDescent="0.2">
      <c r="B34" s="18"/>
      <c r="C34" s="36"/>
      <c r="D34" s="18"/>
      <c r="E34" s="610"/>
      <c r="F34" s="610"/>
      <c r="G34" s="610"/>
      <c r="H34" s="610"/>
      <c r="I34" s="610"/>
      <c r="J34" s="610"/>
      <c r="K34" s="610"/>
      <c r="L34" s="610"/>
      <c r="M34" s="610"/>
      <c r="N34" s="610"/>
      <c r="O34" s="610"/>
      <c r="P34" s="610"/>
      <c r="Q34" s="610"/>
      <c r="R34" s="183"/>
      <c r="S34" s="28"/>
      <c r="T34" s="18"/>
      <c r="U34" s="30"/>
      <c r="V34" s="18"/>
      <c r="W34" s="18"/>
      <c r="X34" s="18"/>
      <c r="Y34" s="82"/>
      <c r="Z34" s="82"/>
      <c r="AA34" s="129"/>
      <c r="AB34" s="28"/>
      <c r="AC34" s="618"/>
      <c r="AD34" s="618"/>
      <c r="AE34" s="618"/>
      <c r="AF34" s="619"/>
      <c r="AG34" s="619"/>
      <c r="AH34" s="83"/>
      <c r="AJ34" s="212"/>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63"/>
      <c r="I40" s="763"/>
      <c r="J40" s="763"/>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208"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208"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208"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208"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617">
        <f>IF(AJ48&gt;30,30,AJ48)</f>
        <v>0</v>
      </c>
      <c r="AD48" s="617"/>
      <c r="AE48" s="617"/>
      <c r="AF48" s="496" t="s">
        <v>79</v>
      </c>
      <c r="AG48" s="496"/>
      <c r="AH48" s="96"/>
      <c r="AJ48" s="212">
        <f>IF(AC38="Projet exempté",0,20*H40/1000)</f>
        <v>0</v>
      </c>
      <c r="AK48" s="208" t="s">
        <v>82</v>
      </c>
    </row>
    <row r="49" spans="2:38" ht="15.75" customHeight="1" x14ac:dyDescent="0.2">
      <c r="B49" s="28"/>
      <c r="C49" s="36"/>
      <c r="E49" s="28"/>
      <c r="F49" s="28"/>
      <c r="G49" s="28"/>
      <c r="H49" s="28"/>
      <c r="I49" s="28"/>
      <c r="J49" s="28"/>
      <c r="K49" s="18"/>
      <c r="L49" s="18"/>
      <c r="M49" s="18"/>
      <c r="N49" s="18"/>
      <c r="O49" s="18"/>
      <c r="P49" s="28"/>
      <c r="Q49" s="18"/>
      <c r="R49" s="183"/>
      <c r="S49" s="30"/>
      <c r="T49" s="18"/>
      <c r="U49" s="30"/>
      <c r="V49" s="18"/>
      <c r="W49" s="82"/>
      <c r="X49" s="82"/>
      <c r="Y49" s="82"/>
      <c r="Z49" s="82"/>
      <c r="AA49" s="82"/>
      <c r="AB49" s="28"/>
      <c r="AC49" s="618"/>
      <c r="AD49" s="618"/>
      <c r="AE49" s="618"/>
      <c r="AF49" s="619"/>
      <c r="AG49" s="619"/>
      <c r="AH49" s="74"/>
      <c r="AJ49" s="212"/>
    </row>
    <row r="50" spans="2:38"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8"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8"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row>
    <row r="53" spans="2:38"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8"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8" ht="15.75" customHeight="1" x14ac:dyDescent="0.2">
      <c r="B55" s="86"/>
      <c r="C55" s="77"/>
      <c r="D55" s="77" t="s">
        <v>37</v>
      </c>
      <c r="E55" s="77"/>
      <c r="F55" s="77"/>
      <c r="G55" s="77"/>
      <c r="H55" s="770"/>
      <c r="I55" s="770"/>
      <c r="J55" s="770"/>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8"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8"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208" t="b">
        <v>0</v>
      </c>
    </row>
    <row r="58" spans="2:38"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8"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663">
        <f>IF(AJ57,H55*5/1000,0)</f>
        <v>0</v>
      </c>
      <c r="AD59" s="663"/>
      <c r="AE59" s="663"/>
      <c r="AF59" s="665" t="s">
        <v>79</v>
      </c>
      <c r="AG59" s="665"/>
      <c r="AH59" s="77"/>
      <c r="AI59" s="77"/>
    </row>
    <row r="60" spans="2:38" ht="15.75" customHeight="1" x14ac:dyDescent="0.2">
      <c r="B60" s="77"/>
      <c r="C60" s="77"/>
      <c r="D60" s="77"/>
      <c r="E60" s="77"/>
      <c r="F60" s="77"/>
      <c r="G60" s="77"/>
      <c r="H60" s="77"/>
      <c r="I60" s="77"/>
      <c r="J60" s="77"/>
      <c r="K60" s="77"/>
      <c r="L60" s="77"/>
      <c r="M60" s="77"/>
      <c r="N60" s="77"/>
      <c r="O60" s="77"/>
      <c r="P60" s="77"/>
      <c r="Q60" s="77"/>
      <c r="R60" s="183"/>
      <c r="S60" s="77"/>
      <c r="T60" s="77"/>
      <c r="U60" s="77"/>
      <c r="V60" s="77"/>
      <c r="W60" s="77"/>
      <c r="X60" s="77"/>
      <c r="Y60" s="77"/>
      <c r="Z60" s="77"/>
      <c r="AA60" s="77"/>
      <c r="AB60" s="28"/>
      <c r="AC60" s="618"/>
      <c r="AD60" s="618"/>
      <c r="AE60" s="618"/>
      <c r="AF60" s="619"/>
      <c r="AG60" s="619"/>
      <c r="AH60" s="77"/>
      <c r="AI60" s="77"/>
    </row>
    <row r="61" spans="2:38"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8"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08" t="b">
        <v>1</v>
      </c>
    </row>
    <row r="63" spans="2: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8"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75">
        <v>10000</v>
      </c>
      <c r="AD64" s="775"/>
      <c r="AE64" s="775"/>
      <c r="AF64" s="776" t="s">
        <v>46</v>
      </c>
      <c r="AG64" s="776"/>
      <c r="AH64" s="77"/>
      <c r="AI64" s="77"/>
      <c r="AJ64" s="213">
        <f>ROUNDDOWN(AC60+AC64,1)</f>
        <v>10000</v>
      </c>
      <c r="AK64" s="208" t="s">
        <v>45</v>
      </c>
      <c r="AL64" s="208" t="s">
        <v>91</v>
      </c>
    </row>
    <row r="65" spans="2:36" ht="15.75" customHeight="1" x14ac:dyDescent="0.2">
      <c r="B65" s="77"/>
      <c r="C65" s="77"/>
      <c r="D65" s="77"/>
      <c r="E65" s="77"/>
      <c r="F65" s="77"/>
      <c r="G65" s="77"/>
      <c r="H65" s="77"/>
      <c r="I65" s="77"/>
      <c r="J65" s="77"/>
      <c r="K65" s="77"/>
      <c r="L65" s="77"/>
      <c r="M65" s="77"/>
      <c r="N65" s="189" t="str">
        <f>IF(AJ64&gt;0,"Fournir justification des besoins selon OcEne art.63","")</f>
        <v>Fournir justification des besoins selon OcEne art.63</v>
      </c>
      <c r="O65" s="77"/>
      <c r="P65" s="251"/>
      <c r="Q65" s="77"/>
      <c r="R65" s="77"/>
      <c r="S65" s="77"/>
      <c r="T65" s="77"/>
      <c r="U65" s="77"/>
      <c r="V65" s="77"/>
      <c r="W65" s="77"/>
      <c r="X65" s="77"/>
      <c r="Y65" s="77"/>
      <c r="Z65" s="77"/>
      <c r="AA65" s="77"/>
      <c r="AB65" s="89"/>
      <c r="AC65" s="175"/>
      <c r="AD65" s="175"/>
      <c r="AE65" s="175"/>
      <c r="AF65" s="176"/>
      <c r="AG65" s="28"/>
      <c r="AH65" s="77"/>
      <c r="AI65" s="77"/>
      <c r="AJ65" s="213"/>
    </row>
    <row r="66" spans="2:36" ht="15.75" customHeight="1" x14ac:dyDescent="0.2">
      <c r="B66" s="77"/>
      <c r="C66" s="77"/>
      <c r="D66" s="77"/>
      <c r="E66" s="77"/>
      <c r="F66" s="77"/>
      <c r="G66" s="77"/>
      <c r="H66" s="77"/>
      <c r="I66" s="77"/>
      <c r="J66" s="77"/>
      <c r="K66" s="77"/>
      <c r="L66" s="77"/>
      <c r="M66" s="77"/>
      <c r="N66" s="189" t="str">
        <f>IF(AJ64&gt;0,"Fournir simulation de la production sur site avec énergie produite en période hivernale","")</f>
        <v>Fournir simulation de la production sur site avec énergie produite en période hivernale</v>
      </c>
      <c r="O66" s="77"/>
      <c r="P66" s="209"/>
      <c r="Q66" s="77"/>
      <c r="R66" s="77"/>
      <c r="S66" s="77"/>
      <c r="T66" s="77"/>
      <c r="U66" s="77"/>
      <c r="V66" s="77"/>
      <c r="W66" s="77"/>
      <c r="X66" s="77"/>
      <c r="Y66" s="77"/>
      <c r="Z66" s="77"/>
      <c r="AA66" s="77"/>
      <c r="AB66" s="89"/>
      <c r="AC66" s="175"/>
      <c r="AD66" s="175"/>
      <c r="AE66" s="175"/>
      <c r="AF66" s="176"/>
      <c r="AG66" s="28"/>
      <c r="AH66" s="77"/>
      <c r="AI66" s="77"/>
      <c r="AJ66" s="213"/>
    </row>
    <row r="67" spans="2:36" ht="8.1" customHeight="1" thickBot="1" x14ac:dyDescent="0.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4"/>
      <c r="AC67" s="88"/>
      <c r="AD67" s="88"/>
      <c r="AE67" s="88"/>
      <c r="AF67" s="88"/>
      <c r="AG67" s="88"/>
      <c r="AH67" s="88"/>
      <c r="AI67" s="77"/>
    </row>
    <row r="68" spans="2:36" ht="8.1" customHeight="1" x14ac:dyDescent="0.2">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78"/>
      <c r="Z68" s="185"/>
      <c r="AA68" s="126"/>
      <c r="AB68" s="126"/>
      <c r="AC68" s="28"/>
      <c r="AD68" s="28"/>
      <c r="AE68" s="28"/>
      <c r="AF68" s="28"/>
      <c r="AG68" s="28"/>
      <c r="AH68" s="28"/>
    </row>
    <row r="69" spans="2:36" ht="15.75" customHeight="1" x14ac:dyDescent="0.2">
      <c r="B69" s="34" t="s">
        <v>140</v>
      </c>
      <c r="C69" s="34"/>
      <c r="D69" s="34" t="s">
        <v>139</v>
      </c>
      <c r="E69" s="34"/>
      <c r="F69" s="34"/>
      <c r="G69" s="34"/>
      <c r="H69" s="34"/>
      <c r="I69" s="34"/>
      <c r="J69" s="34"/>
      <c r="K69" s="34"/>
      <c r="L69" s="34"/>
      <c r="M69" s="34"/>
      <c r="N69" s="34"/>
      <c r="O69" s="34"/>
      <c r="P69" s="34"/>
      <c r="Q69" s="34"/>
      <c r="R69" s="34"/>
      <c r="S69" s="34"/>
      <c r="T69" s="34"/>
      <c r="U69" s="34"/>
      <c r="V69" s="34"/>
      <c r="W69" s="34"/>
      <c r="X69" s="34"/>
      <c r="Y69" s="179"/>
      <c r="Z69" s="186"/>
      <c r="AA69" s="34"/>
      <c r="AB69" s="34"/>
      <c r="AC69" s="18"/>
      <c r="AE69" s="73"/>
      <c r="AF69" s="73"/>
      <c r="AG69" s="73"/>
      <c r="AH69" s="73"/>
    </row>
    <row r="70" spans="2:36" ht="15.75" customHeight="1" thickBot="1" x14ac:dyDescent="0.25">
      <c r="B70" s="135" t="s">
        <v>130</v>
      </c>
      <c r="C70" s="88"/>
      <c r="D70" s="88"/>
      <c r="E70" s="88"/>
      <c r="F70" s="88"/>
      <c r="G70" s="88"/>
      <c r="H70" s="88"/>
      <c r="I70" s="88"/>
      <c r="J70" s="88"/>
      <c r="K70" s="88"/>
      <c r="L70" s="88"/>
      <c r="M70" s="88"/>
      <c r="N70" s="88"/>
      <c r="O70" s="88"/>
      <c r="P70" s="88"/>
      <c r="Q70" s="88"/>
      <c r="R70" s="88"/>
      <c r="S70" s="88"/>
      <c r="T70" s="88"/>
      <c r="U70" s="88"/>
      <c r="V70" s="88"/>
      <c r="W70" s="88"/>
      <c r="X70" s="88"/>
      <c r="Y70" s="180"/>
      <c r="Z70" s="187"/>
      <c r="AA70" s="77"/>
      <c r="AB70" s="77"/>
      <c r="AC70" s="184"/>
      <c r="AD70" s="42"/>
      <c r="AE70" s="61"/>
      <c r="AF70" s="61"/>
      <c r="AG70" s="61"/>
      <c r="AH70" s="61"/>
    </row>
    <row r="71" spans="2:36" ht="8.1" customHeight="1" x14ac:dyDescent="0.2">
      <c r="B71" s="8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row>
    <row r="72" spans="2:36" ht="18.75" customHeight="1" x14ac:dyDescent="0.2">
      <c r="B72" s="91"/>
      <c r="C72" s="91"/>
      <c r="D72" s="90" t="s">
        <v>128</v>
      </c>
      <c r="E72" s="90"/>
      <c r="F72" s="90"/>
      <c r="G72" s="90"/>
      <c r="H72" s="90"/>
      <c r="I72" s="90"/>
      <c r="J72" s="90"/>
      <c r="K72" s="90"/>
      <c r="L72" s="90"/>
      <c r="M72" s="90"/>
      <c r="N72" s="90"/>
      <c r="O72" s="90"/>
      <c r="P72" s="90"/>
      <c r="Q72" s="90"/>
      <c r="R72" s="90"/>
      <c r="S72" s="90"/>
      <c r="T72" s="90"/>
      <c r="U72" s="90"/>
      <c r="V72" s="90"/>
      <c r="W72" s="90"/>
      <c r="X72" s="90"/>
      <c r="Y72" s="90"/>
      <c r="Z72" s="189" t="str">
        <f>IF(AJ72=1,"Fournir EN-VS-101b","")</f>
        <v>Fournir EN-VS-101b</v>
      </c>
      <c r="AA72" s="17"/>
      <c r="AB72" s="17"/>
      <c r="AC72" s="28"/>
      <c r="AD72" s="17"/>
      <c r="AE72" s="17"/>
      <c r="AF72" s="17"/>
      <c r="AG72" s="17"/>
      <c r="AH72" s="16"/>
      <c r="AJ72" s="208">
        <v>1</v>
      </c>
    </row>
    <row r="73" spans="2:36" ht="18.75" customHeight="1" x14ac:dyDescent="0.2">
      <c r="B73" s="91"/>
      <c r="C73" s="91"/>
      <c r="D73" s="28" t="s">
        <v>126</v>
      </c>
      <c r="E73" s="197"/>
      <c r="F73" s="197"/>
      <c r="G73" s="197"/>
      <c r="H73" s="197"/>
      <c r="I73" s="197"/>
      <c r="J73" s="197"/>
      <c r="K73" s="197"/>
      <c r="L73" s="197"/>
      <c r="M73" s="197"/>
      <c r="N73" s="197"/>
      <c r="O73" s="197"/>
      <c r="P73" s="197"/>
      <c r="Q73" s="197"/>
      <c r="R73" s="188"/>
      <c r="S73" s="188"/>
      <c r="T73" s="188"/>
      <c r="U73" s="188"/>
      <c r="V73" s="188"/>
      <c r="W73" s="188"/>
      <c r="X73" s="188"/>
      <c r="Y73" s="188"/>
      <c r="Z73" s="564" t="str">
        <f>IF(AJ72=1,"L'option de rafraîchissement d'une PAC réversible doit être intégrée au calcul même si l'option n'est pas utilisée","")</f>
        <v>L'option de rafraîchissement d'une PAC réversible doit être intégrée au calcul même si l'option n'est pas utilisée</v>
      </c>
      <c r="AA73" s="564"/>
      <c r="AB73" s="564"/>
      <c r="AC73" s="564"/>
      <c r="AD73" s="564"/>
      <c r="AE73" s="564"/>
      <c r="AF73" s="564"/>
      <c r="AG73" s="564"/>
      <c r="AH73" s="564"/>
    </row>
    <row r="74" spans="2:36" ht="18.75" customHeight="1" x14ac:dyDescent="0.2">
      <c r="B74" s="91"/>
      <c r="C74" s="91"/>
      <c r="D74" s="77" t="s">
        <v>173</v>
      </c>
      <c r="E74" s="197"/>
      <c r="F74" s="197"/>
      <c r="G74" s="197"/>
      <c r="H74" s="197"/>
      <c r="I74" s="197"/>
      <c r="J74" s="197"/>
      <c r="K74" s="197"/>
      <c r="L74" s="197"/>
      <c r="M74" s="197"/>
      <c r="N74" s="197"/>
      <c r="O74" s="197"/>
      <c r="P74" s="197"/>
      <c r="Q74" s="197"/>
      <c r="R74" s="17"/>
      <c r="S74" s="46"/>
      <c r="T74" s="17"/>
      <c r="U74" s="17"/>
      <c r="V74" s="17"/>
      <c r="W74" s="17"/>
      <c r="X74" s="17"/>
      <c r="Y74" s="17"/>
      <c r="Z74" s="564"/>
      <c r="AA74" s="564"/>
      <c r="AB74" s="564"/>
      <c r="AC74" s="564"/>
      <c r="AD74" s="564"/>
      <c r="AE74" s="564"/>
      <c r="AF74" s="564"/>
      <c r="AG74" s="564"/>
      <c r="AH74" s="564"/>
    </row>
    <row r="75" spans="2:36" ht="18.75" customHeight="1" x14ac:dyDescent="0.2">
      <c r="B75" s="91"/>
      <c r="C75" s="91"/>
      <c r="D75" s="28" t="s">
        <v>131</v>
      </c>
      <c r="E75" s="197"/>
      <c r="F75" s="197"/>
      <c r="G75" s="197"/>
      <c r="H75" s="197"/>
      <c r="I75" s="197"/>
      <c r="J75" s="197"/>
      <c r="K75" s="197"/>
      <c r="L75" s="197"/>
      <c r="M75" s="197"/>
      <c r="N75" s="197"/>
      <c r="O75" s="197"/>
      <c r="P75" s="197"/>
      <c r="Q75" s="197"/>
      <c r="R75" s="17"/>
      <c r="S75" s="46"/>
      <c r="T75" s="17"/>
      <c r="U75" s="17"/>
      <c r="V75" s="17"/>
      <c r="W75" s="17"/>
      <c r="X75" s="17"/>
      <c r="Y75" s="17"/>
      <c r="Z75" s="189" t="str">
        <f>IF(AJ72=5,"Fournir EN-VS-101a","")</f>
        <v/>
      </c>
      <c r="AA75" s="17"/>
      <c r="AB75" s="17"/>
      <c r="AC75" s="17"/>
      <c r="AD75" s="17"/>
      <c r="AE75" s="17"/>
      <c r="AF75" s="17"/>
      <c r="AG75" s="17"/>
      <c r="AH75" s="17"/>
    </row>
    <row r="76" spans="2:36" ht="18.75" customHeight="1" x14ac:dyDescent="0.2">
      <c r="B76" s="91"/>
      <c r="C76" s="91"/>
      <c r="D76" s="28" t="s">
        <v>169</v>
      </c>
      <c r="E76" s="28"/>
      <c r="F76" s="28"/>
      <c r="G76" s="28"/>
      <c r="H76" s="28"/>
      <c r="I76" s="28"/>
      <c r="J76" s="28"/>
      <c r="K76" s="28"/>
      <c r="L76" s="28"/>
      <c r="M76" s="28"/>
      <c r="N76" s="28"/>
      <c r="O76" s="28"/>
      <c r="P76" s="28"/>
      <c r="Q76" s="28"/>
      <c r="R76" s="17"/>
      <c r="S76" s="17"/>
      <c r="T76" s="17"/>
      <c r="U76" s="17"/>
      <c r="V76" s="17"/>
      <c r="W76" s="189" t="str">
        <f>IF(AJ72=6,"Fournir certificat provisoire correspondant","")</f>
        <v/>
      </c>
      <c r="X76" s="17"/>
      <c r="Y76" s="17"/>
      <c r="Z76" s="17"/>
      <c r="AA76" s="17"/>
      <c r="AB76" s="17"/>
      <c r="AC76" s="17"/>
      <c r="AD76" s="17"/>
      <c r="AE76" s="17"/>
      <c r="AF76" s="17"/>
      <c r="AG76" s="17"/>
      <c r="AH76" s="17"/>
    </row>
    <row r="77" spans="2:36" ht="22.5" customHeight="1" x14ac:dyDescent="0.2">
      <c r="B77" s="198"/>
      <c r="C77" s="198"/>
      <c r="D77" s="28"/>
      <c r="E77" s="197"/>
      <c r="F77" s="197"/>
      <c r="G77" s="197"/>
      <c r="H77" s="197"/>
      <c r="I77" s="197"/>
      <c r="J77" s="197"/>
      <c r="K77" s="197"/>
      <c r="L77" s="197"/>
      <c r="M77" s="197"/>
      <c r="N77" s="197"/>
      <c r="O77" s="197"/>
      <c r="P77" s="197"/>
      <c r="Q77" s="197"/>
      <c r="R77" s="17"/>
      <c r="S77" s="17"/>
      <c r="T77" s="17"/>
      <c r="U77" s="17"/>
      <c r="V77" s="17"/>
      <c r="W77" s="17"/>
      <c r="X77" s="17"/>
      <c r="Y77" s="17"/>
      <c r="Z77" s="17"/>
      <c r="AA77" s="17"/>
      <c r="AB77" s="17"/>
      <c r="AC77" s="17"/>
      <c r="AD77" s="17"/>
      <c r="AE77" s="17"/>
      <c r="AF77" s="17"/>
      <c r="AG77" s="17"/>
      <c r="AH77" s="17"/>
    </row>
    <row r="78" spans="2:36" ht="15.75" customHeight="1" x14ac:dyDescent="0.2">
      <c r="B78" s="28"/>
      <c r="C78" s="28"/>
      <c r="D78" s="28"/>
      <c r="E78" s="28"/>
      <c r="F78" s="28"/>
      <c r="G78" s="28"/>
      <c r="H78" s="28"/>
      <c r="I78" s="28"/>
      <c r="J78" s="28"/>
      <c r="K78" s="28"/>
      <c r="L78" s="28"/>
      <c r="M78" s="28"/>
      <c r="N78" s="119"/>
      <c r="O78" s="28"/>
      <c r="P78" s="120"/>
      <c r="Q78" s="120"/>
      <c r="R78" s="28"/>
      <c r="S78" s="121"/>
      <c r="T78" s="17"/>
      <c r="U78" s="17"/>
      <c r="V78" s="17"/>
      <c r="W78" s="26" t="s">
        <v>52</v>
      </c>
      <c r="X78" s="17"/>
      <c r="Z78" s="17"/>
      <c r="AA78" s="17"/>
      <c r="AB78" s="32" t="s">
        <v>53</v>
      </c>
      <c r="AC78" s="17"/>
      <c r="AD78" s="17"/>
      <c r="AE78" s="17"/>
      <c r="AF78" s="17"/>
      <c r="AG78" s="17"/>
      <c r="AH78" s="17"/>
    </row>
    <row r="79" spans="2:36" ht="15.75" customHeight="1" x14ac:dyDescent="0.2">
      <c r="B79" s="28"/>
      <c r="C79" s="28" t="s">
        <v>61</v>
      </c>
      <c r="D79" s="28"/>
      <c r="E79" s="28"/>
      <c r="F79" s="28"/>
      <c r="G79" s="28"/>
      <c r="H79" s="28"/>
      <c r="I79" s="28"/>
      <c r="J79" s="28"/>
      <c r="K79" s="28"/>
      <c r="L79" s="28"/>
      <c r="M79" s="783"/>
      <c r="N79" s="783"/>
      <c r="O79" s="147" t="s">
        <v>43</v>
      </c>
      <c r="P79" s="198"/>
      <c r="Q79" s="19"/>
      <c r="R79" s="26"/>
      <c r="S79" s="28"/>
      <c r="T79" s="17"/>
      <c r="U79" s="17"/>
      <c r="V79" s="17"/>
      <c r="W79" s="17"/>
      <c r="X79" s="17"/>
      <c r="Y79" s="43" t="s">
        <v>47</v>
      </c>
      <c r="Z79" s="17"/>
      <c r="AA79" s="28"/>
      <c r="AB79" s="28" t="s">
        <v>48</v>
      </c>
      <c r="AC79" s="17"/>
      <c r="AD79" s="17"/>
      <c r="AE79" s="17"/>
      <c r="AF79" s="17"/>
      <c r="AG79" s="17"/>
      <c r="AH79" s="17"/>
      <c r="AJ79" s="208" t="b">
        <v>0</v>
      </c>
    </row>
    <row r="80" spans="2:36" ht="15.75" customHeight="1" x14ac:dyDescent="0.2">
      <c r="B80" s="28"/>
      <c r="C80" s="115" t="s">
        <v>56</v>
      </c>
      <c r="D80" s="114"/>
      <c r="E80" s="114"/>
      <c r="F80" s="114"/>
      <c r="G80" s="114"/>
      <c r="H80" s="114"/>
      <c r="I80" s="114"/>
      <c r="J80" s="114"/>
      <c r="K80" s="114"/>
      <c r="L80" s="114"/>
      <c r="M80" s="784"/>
      <c r="N80" s="784"/>
      <c r="O80" s="115"/>
      <c r="P80" s="115"/>
      <c r="Q80" s="19"/>
      <c r="R80" s="26"/>
      <c r="S80" s="28"/>
      <c r="T80" s="17"/>
      <c r="U80" s="17"/>
      <c r="V80" s="28" t="s">
        <v>44</v>
      </c>
      <c r="X80" s="17"/>
      <c r="Z80" s="17"/>
      <c r="AA80" s="19"/>
      <c r="AB80" s="28" t="s">
        <v>49</v>
      </c>
      <c r="AC80" s="17"/>
      <c r="AD80" s="17"/>
      <c r="AE80" s="17"/>
      <c r="AF80" s="17"/>
      <c r="AG80" s="17"/>
      <c r="AH80" s="17"/>
      <c r="AJ80" s="208" t="b">
        <v>0</v>
      </c>
    </row>
    <row r="81" spans="1:68" ht="15.75" customHeight="1" x14ac:dyDescent="0.2">
      <c r="B81" s="28"/>
      <c r="C81" s="189" t="str">
        <f>IF(M79&gt;0,"Fournir EN-VS-110","")</f>
        <v/>
      </c>
      <c r="D81" s="28"/>
      <c r="E81" s="28"/>
      <c r="F81" s="28"/>
      <c r="G81" s="28"/>
      <c r="H81" s="28"/>
      <c r="I81" s="43"/>
      <c r="J81" s="43"/>
      <c r="K81" s="43"/>
      <c r="L81" s="43"/>
      <c r="M81" s="43"/>
      <c r="N81" s="43"/>
      <c r="O81" s="28"/>
      <c r="P81" s="624"/>
      <c r="Q81" s="624"/>
      <c r="R81" s="26"/>
      <c r="S81" s="28"/>
      <c r="T81" s="17"/>
      <c r="U81" s="17"/>
      <c r="V81" s="33"/>
      <c r="W81" s="33"/>
      <c r="X81" s="33"/>
      <c r="Y81" s="17"/>
      <c r="Z81" s="17"/>
      <c r="AA81" s="17"/>
      <c r="AB81" s="17"/>
      <c r="AC81" s="17"/>
      <c r="AD81" s="17"/>
      <c r="AE81" s="17"/>
      <c r="AF81" s="17"/>
      <c r="AG81" s="17"/>
      <c r="AH81" s="17"/>
    </row>
    <row r="82" spans="1:68" ht="8.1" customHeight="1" x14ac:dyDescent="0.2">
      <c r="B82" s="28"/>
      <c r="C82" s="28"/>
      <c r="D82" s="28"/>
      <c r="E82" s="28"/>
      <c r="F82" s="28"/>
      <c r="G82" s="28"/>
      <c r="H82" s="28"/>
      <c r="I82" s="43"/>
      <c r="J82" s="43"/>
      <c r="K82" s="43"/>
      <c r="L82" s="43"/>
      <c r="M82" s="43"/>
      <c r="N82" s="43"/>
      <c r="O82" s="28"/>
      <c r="P82" s="200"/>
      <c r="Q82" s="200"/>
      <c r="R82" s="26"/>
      <c r="S82" s="28"/>
      <c r="T82" s="17"/>
      <c r="U82" s="17"/>
      <c r="V82" s="33"/>
      <c r="W82" s="33"/>
      <c r="X82" s="33"/>
      <c r="Y82" s="17"/>
      <c r="Z82" s="17"/>
      <c r="AA82" s="17"/>
      <c r="AB82" s="17"/>
      <c r="AC82" s="17"/>
      <c r="AD82" s="17"/>
      <c r="AE82" s="17"/>
      <c r="AF82" s="17"/>
      <c r="AG82" s="17"/>
      <c r="AH82" s="17"/>
    </row>
    <row r="83" spans="1:68" ht="15.75" customHeight="1" x14ac:dyDescent="0.2">
      <c r="B83" s="28"/>
      <c r="C83" s="822" t="s">
        <v>68</v>
      </c>
      <c r="D83" s="822"/>
      <c r="E83" s="822"/>
      <c r="F83" s="822"/>
      <c r="G83" s="822"/>
      <c r="H83" s="822"/>
      <c r="I83" s="822"/>
      <c r="J83" s="822"/>
      <c r="K83" s="822"/>
      <c r="L83" s="822"/>
      <c r="M83" s="822"/>
      <c r="N83" s="822"/>
      <c r="O83" s="190" t="s">
        <v>67</v>
      </c>
      <c r="P83" s="28"/>
      <c r="Q83" s="28"/>
      <c r="R83" s="28"/>
      <c r="S83" s="28"/>
      <c r="T83" s="28"/>
      <c r="U83" s="30"/>
      <c r="V83" s="17"/>
      <c r="W83" s="17"/>
      <c r="X83" s="17"/>
      <c r="Y83" s="17"/>
      <c r="Z83" s="17"/>
      <c r="AA83" s="17"/>
      <c r="AB83" s="28"/>
      <c r="AC83" s="781">
        <f>IF(AC84&lt;&gt;0,0,AJ83)</f>
        <v>0</v>
      </c>
      <c r="AD83" s="781"/>
      <c r="AE83" s="781"/>
      <c r="AF83" s="496" t="s">
        <v>46</v>
      </c>
      <c r="AG83" s="496"/>
      <c r="AH83" s="17"/>
      <c r="AJ83" s="208">
        <f>IF(OR(AJ72=1,AJ72=3),0,M79*1000)</f>
        <v>0</v>
      </c>
    </row>
    <row r="84" spans="1:68" ht="15.75" customHeight="1" x14ac:dyDescent="0.2">
      <c r="B84" s="28"/>
      <c r="C84" s="822"/>
      <c r="D84" s="822"/>
      <c r="E84" s="822"/>
      <c r="F84" s="822"/>
      <c r="G84" s="822"/>
      <c r="H84" s="822"/>
      <c r="I84" s="822"/>
      <c r="J84" s="822"/>
      <c r="K84" s="822"/>
      <c r="L84" s="822"/>
      <c r="M84" s="822"/>
      <c r="N84" s="822"/>
      <c r="O84" s="190" t="s">
        <v>66</v>
      </c>
      <c r="P84" s="28"/>
      <c r="Q84" s="28"/>
      <c r="R84" s="28"/>
      <c r="S84" s="28"/>
      <c r="T84" s="28"/>
      <c r="U84" s="30"/>
      <c r="V84" s="17"/>
      <c r="W84" s="17"/>
      <c r="X84" s="17"/>
      <c r="Y84" s="17"/>
      <c r="Z84" s="17"/>
      <c r="AA84" s="17"/>
      <c r="AB84" s="28"/>
      <c r="AC84" s="823"/>
      <c r="AD84" s="823"/>
      <c r="AE84" s="823"/>
      <c r="AF84" s="563" t="s">
        <v>46</v>
      </c>
      <c r="AG84" s="563"/>
      <c r="AH84" s="47"/>
    </row>
    <row r="85" spans="1:68" ht="15.75" customHeight="1" x14ac:dyDescent="0.2">
      <c r="B85" s="196"/>
      <c r="C85" s="203" t="s">
        <v>151</v>
      </c>
      <c r="D85" s="28"/>
      <c r="E85" s="196"/>
      <c r="F85" s="196"/>
      <c r="G85" s="196"/>
      <c r="H85" s="196"/>
      <c r="I85" s="148"/>
      <c r="J85" s="148"/>
      <c r="K85" s="148"/>
      <c r="L85" s="148"/>
      <c r="M85" s="196"/>
      <c r="N85" s="196"/>
      <c r="O85" s="204"/>
      <c r="P85" s="204"/>
      <c r="Q85" s="204"/>
      <c r="R85" s="204"/>
      <c r="S85" s="204"/>
      <c r="T85" s="204"/>
      <c r="U85" s="204"/>
      <c r="V85" s="204"/>
      <c r="W85" s="204"/>
      <c r="X85" s="204"/>
      <c r="Y85" s="204"/>
      <c r="Z85" s="204"/>
      <c r="AA85" s="204"/>
      <c r="AB85" s="204"/>
      <c r="AC85" s="204"/>
      <c r="AD85" s="204"/>
      <c r="AE85" s="204"/>
      <c r="AF85" s="204"/>
      <c r="AG85" s="205"/>
      <c r="AH85" s="204"/>
      <c r="AI85" s="196"/>
    </row>
    <row r="86" spans="1:68" ht="6.75" customHeight="1" x14ac:dyDescent="0.2">
      <c r="A86" s="28"/>
      <c r="B86" s="45"/>
      <c r="C86" s="45"/>
      <c r="D86" s="202"/>
      <c r="E86" s="45"/>
      <c r="F86" s="45"/>
      <c r="G86" s="45"/>
      <c r="H86" s="45"/>
      <c r="I86" s="45"/>
      <c r="J86" s="45"/>
      <c r="K86" s="45"/>
      <c r="L86" s="45"/>
      <c r="M86" s="45"/>
      <c r="N86" s="45"/>
      <c r="O86" s="201"/>
      <c r="P86" s="201"/>
      <c r="Q86" s="201"/>
      <c r="R86" s="201"/>
      <c r="S86" s="201"/>
      <c r="T86" s="201"/>
      <c r="U86" s="201"/>
      <c r="V86" s="201"/>
      <c r="W86" s="201"/>
      <c r="X86" s="201"/>
      <c r="Y86" s="201"/>
      <c r="Z86" s="201"/>
      <c r="AA86" s="201"/>
      <c r="AB86" s="201"/>
      <c r="AC86" s="201"/>
      <c r="AD86" s="201"/>
      <c r="AE86" s="201"/>
      <c r="AF86" s="201"/>
      <c r="AG86" s="201"/>
      <c r="AH86" s="201"/>
    </row>
    <row r="87" spans="1:68" ht="8.1" customHeight="1" x14ac:dyDescent="0.2">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row>
    <row r="88" spans="1:68" ht="15.75" customHeight="1" x14ac:dyDescent="0.2">
      <c r="B88" s="34" t="s">
        <v>142</v>
      </c>
      <c r="C88" s="18"/>
      <c r="D88" s="34" t="s">
        <v>141</v>
      </c>
      <c r="E88" s="18"/>
      <c r="F88" s="18"/>
      <c r="G88" s="18"/>
      <c r="H88" s="18"/>
      <c r="I88" s="18"/>
      <c r="J88" s="18"/>
      <c r="K88" s="18"/>
      <c r="L88" s="18"/>
      <c r="M88" s="18"/>
      <c r="N88" s="18"/>
      <c r="O88" s="18"/>
      <c r="P88" s="18"/>
      <c r="Q88" s="18"/>
      <c r="R88" s="18"/>
      <c r="S88" s="18"/>
      <c r="T88" s="194"/>
      <c r="U88" s="55"/>
      <c r="V88" s="55"/>
      <c r="W88" s="55"/>
      <c r="X88" s="56"/>
      <c r="Y88" s="56"/>
      <c r="Z88" s="56"/>
      <c r="AA88" s="56"/>
      <c r="AB88" s="56"/>
      <c r="AC88" s="56"/>
      <c r="AE88" s="78"/>
      <c r="AF88" s="78"/>
      <c r="AG88" s="78"/>
      <c r="AH88" s="73"/>
    </row>
    <row r="89" spans="1:68" ht="15.75" customHeight="1" thickBot="1" x14ac:dyDescent="0.25">
      <c r="B89" s="135" t="s">
        <v>71</v>
      </c>
      <c r="C89" s="136"/>
      <c r="D89" s="136"/>
      <c r="E89" s="136"/>
      <c r="F89" s="136"/>
      <c r="G89" s="136"/>
      <c r="H89" s="136"/>
      <c r="I89" s="136"/>
      <c r="J89" s="136"/>
      <c r="K89" s="136"/>
      <c r="L89" s="136"/>
      <c r="M89" s="136"/>
      <c r="N89" s="136"/>
      <c r="O89" s="14"/>
      <c r="P89" s="14"/>
      <c r="Q89" s="14"/>
      <c r="R89" s="14"/>
      <c r="S89" s="136"/>
      <c r="T89" s="195"/>
      <c r="U89" s="55"/>
      <c r="V89" s="55"/>
      <c r="W89" s="55"/>
      <c r="X89" s="56"/>
      <c r="Y89" s="56"/>
      <c r="Z89" s="56"/>
      <c r="AA89" s="56"/>
      <c r="AB89" s="56"/>
      <c r="AC89" s="56"/>
      <c r="AD89" s="56"/>
      <c r="AE89" s="56"/>
      <c r="AF89" s="56"/>
      <c r="AG89" s="56"/>
      <c r="AH89" s="55"/>
    </row>
    <row r="90" spans="1:68" ht="8.1" customHeight="1" x14ac:dyDescent="0.2">
      <c r="B90" s="57"/>
      <c r="C90" s="57"/>
      <c r="D90" s="57"/>
      <c r="E90" s="57"/>
      <c r="F90" s="57"/>
      <c r="G90" s="57"/>
      <c r="H90" s="57"/>
      <c r="I90" s="57"/>
      <c r="J90" s="57"/>
      <c r="K90" s="57"/>
      <c r="L90" s="57"/>
      <c r="M90" s="57"/>
      <c r="N90" s="57"/>
      <c r="O90" s="57"/>
      <c r="P90" s="54"/>
      <c r="Q90" s="54"/>
      <c r="R90" s="54"/>
      <c r="S90" s="54"/>
      <c r="T90" s="54"/>
      <c r="U90" s="54"/>
      <c r="V90" s="54"/>
      <c r="W90" s="55"/>
      <c r="X90" s="56"/>
      <c r="Y90" s="56"/>
      <c r="Z90" s="56"/>
      <c r="AA90" s="56"/>
      <c r="AB90" s="56"/>
      <c r="AC90" s="56"/>
      <c r="AD90" s="56"/>
      <c r="AE90" s="56"/>
      <c r="AF90" s="56"/>
      <c r="AG90" s="56"/>
      <c r="AH90" s="55"/>
    </row>
    <row r="91" spans="1:68" ht="15.75" customHeight="1" x14ac:dyDescent="0.2">
      <c r="B91" s="198"/>
      <c r="C91" s="28" t="s">
        <v>64</v>
      </c>
      <c r="D91" s="28"/>
      <c r="E91" s="28"/>
      <c r="F91" s="28"/>
      <c r="G91" s="63"/>
      <c r="H91" s="63"/>
      <c r="I91" s="63"/>
      <c r="J91" s="32"/>
      <c r="K91" s="18"/>
      <c r="L91" s="198"/>
      <c r="M91" s="198"/>
      <c r="N91" s="763"/>
      <c r="O91" s="763"/>
      <c r="P91" s="763"/>
      <c r="Q91" s="144" t="s">
        <v>112</v>
      </c>
      <c r="R91" s="28"/>
      <c r="S91" s="28"/>
      <c r="T91" s="54"/>
      <c r="U91" s="28" t="s">
        <v>59</v>
      </c>
      <c r="V91" s="57"/>
      <c r="W91" s="55"/>
      <c r="X91" s="53"/>
      <c r="Y91" s="54"/>
      <c r="Z91" s="58"/>
      <c r="AA91" s="56"/>
      <c r="AB91" s="56"/>
      <c r="AC91" s="56"/>
      <c r="AD91" s="56"/>
      <c r="AE91" s="56"/>
      <c r="AF91" s="56"/>
      <c r="AG91" s="56"/>
      <c r="AH91" s="55"/>
      <c r="AI91" s="54"/>
      <c r="AJ91" s="208" t="b">
        <v>0</v>
      </c>
    </row>
    <row r="92" spans="1:68" ht="15.75" customHeight="1" x14ac:dyDescent="0.2">
      <c r="B92" s="198"/>
      <c r="C92" s="28"/>
      <c r="D92" s="28"/>
      <c r="E92" s="28"/>
      <c r="F92" s="28"/>
      <c r="G92" s="63"/>
      <c r="H92" s="63"/>
      <c r="I92" s="63"/>
      <c r="J92" s="32"/>
      <c r="K92" s="18"/>
      <c r="L92" s="198"/>
      <c r="M92" s="198"/>
      <c r="N92" s="198"/>
      <c r="O92" s="28"/>
      <c r="P92" s="28"/>
      <c r="Q92" s="28"/>
      <c r="R92" s="64"/>
      <c r="S92" s="64"/>
      <c r="T92" s="65"/>
      <c r="U92" s="59"/>
      <c r="V92" s="57"/>
      <c r="W92" s="55"/>
      <c r="X92" s="60"/>
      <c r="Y92" s="54"/>
      <c r="Z92" s="58"/>
      <c r="AA92" s="56"/>
      <c r="AB92" s="56"/>
      <c r="AC92" s="56"/>
      <c r="AD92" s="56"/>
      <c r="AE92" s="56"/>
      <c r="AF92" s="56"/>
      <c r="AG92" s="56"/>
      <c r="AH92" s="55"/>
      <c r="AI92" s="54"/>
    </row>
    <row r="93" spans="1:68" ht="15.75" customHeight="1" x14ac:dyDescent="0.2">
      <c r="B93" s="198"/>
      <c r="C93" s="28" t="s">
        <v>61</v>
      </c>
      <c r="D93" s="28"/>
      <c r="E93" s="28"/>
      <c r="F93" s="28"/>
      <c r="G93" s="28"/>
      <c r="H93" s="28"/>
      <c r="I93" s="28"/>
      <c r="J93" s="28"/>
      <c r="K93" s="28"/>
      <c r="L93" s="28"/>
      <c r="M93" s="783"/>
      <c r="N93" s="783"/>
      <c r="O93" s="147" t="s">
        <v>43</v>
      </c>
      <c r="P93" s="198"/>
      <c r="Q93" s="198"/>
      <c r="R93" s="198"/>
      <c r="S93" s="28"/>
      <c r="T93" s="53"/>
      <c r="U93" s="55"/>
      <c r="V93" s="53"/>
      <c r="W93" s="58"/>
      <c r="X93" s="56"/>
      <c r="Y93" s="54"/>
      <c r="Z93" s="60"/>
      <c r="AA93" s="56"/>
      <c r="AB93" s="56"/>
      <c r="AC93" s="56"/>
      <c r="AD93" s="56"/>
      <c r="AE93" s="56"/>
      <c r="AF93" s="56"/>
      <c r="AG93" s="56"/>
      <c r="AH93" s="55"/>
      <c r="AI93" s="54"/>
    </row>
    <row r="94" spans="1:68" s="215" customFormat="1" ht="12" customHeight="1" x14ac:dyDescent="0.2">
      <c r="A94" s="112"/>
      <c r="B94" s="113"/>
      <c r="C94" s="115" t="s">
        <v>56</v>
      </c>
      <c r="D94" s="114"/>
      <c r="E94" s="114"/>
      <c r="F94" s="114"/>
      <c r="G94" s="114"/>
      <c r="H94" s="114"/>
      <c r="I94" s="114"/>
      <c r="J94" s="114"/>
      <c r="K94" s="114"/>
      <c r="L94" s="114"/>
      <c r="M94" s="784"/>
      <c r="N94" s="784"/>
      <c r="O94" s="115"/>
      <c r="P94" s="115"/>
      <c r="Q94" s="114"/>
      <c r="R94" s="114"/>
      <c r="S94" s="114"/>
      <c r="T94" s="114"/>
      <c r="U94" s="116"/>
      <c r="V94" s="117"/>
      <c r="W94" s="117"/>
      <c r="X94" s="114"/>
      <c r="Y94" s="114"/>
      <c r="Z94" s="114"/>
      <c r="AA94" s="114"/>
      <c r="AB94" s="114"/>
      <c r="AC94" s="114"/>
      <c r="AD94" s="114"/>
      <c r="AE94" s="114"/>
      <c r="AF94" s="114"/>
      <c r="AG94" s="114"/>
      <c r="AH94" s="114"/>
      <c r="AI94" s="1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c r="BP94" s="214"/>
    </row>
    <row r="95" spans="1:68" ht="15.75" customHeight="1" x14ac:dyDescent="0.2">
      <c r="B95" s="198"/>
      <c r="C95" s="28"/>
      <c r="D95" s="28"/>
      <c r="E95" s="28"/>
      <c r="F95" s="28"/>
      <c r="G95" s="28"/>
      <c r="H95" s="28"/>
      <c r="I95" s="28"/>
      <c r="J95" s="28"/>
      <c r="K95" s="28"/>
      <c r="L95" s="28"/>
      <c r="M95" s="778" t="str">
        <f>IF(N91&gt;0,M93*1000/N91,"")</f>
        <v/>
      </c>
      <c r="N95" s="778"/>
      <c r="O95" s="35" t="s">
        <v>114</v>
      </c>
      <c r="P95" s="1"/>
      <c r="Q95" s="28"/>
      <c r="R95" s="28"/>
      <c r="S95" s="28"/>
      <c r="T95" s="28"/>
      <c r="U95" s="17"/>
      <c r="V95" s="33"/>
      <c r="W95" s="33"/>
      <c r="X95" s="28"/>
      <c r="Y95" s="28"/>
      <c r="Z95" s="28"/>
      <c r="AA95" s="28"/>
      <c r="AB95" s="28"/>
      <c r="AC95" s="28"/>
      <c r="AD95" s="28"/>
      <c r="AE95" s="28"/>
      <c r="AF95" s="28"/>
      <c r="AG95" s="28"/>
      <c r="AH95" s="28"/>
    </row>
    <row r="96" spans="1:68" ht="15.75" customHeight="1" x14ac:dyDescent="0.2">
      <c r="B96" s="198"/>
      <c r="C96" s="28"/>
      <c r="D96" s="28"/>
      <c r="E96" s="28"/>
      <c r="F96" s="28"/>
      <c r="G96" s="28"/>
      <c r="H96" s="28"/>
      <c r="I96" s="28"/>
      <c r="J96" s="28"/>
      <c r="K96" s="28"/>
      <c r="L96" s="28"/>
      <c r="M96" s="779">
        <f>IFERROR(IF((M95&gt;12),(M95-12),0),0)</f>
        <v>0</v>
      </c>
      <c r="N96" s="779"/>
      <c r="O96" s="146" t="s">
        <v>115</v>
      </c>
      <c r="P96" s="107"/>
      <c r="Q96" s="41"/>
      <c r="R96" s="32" t="s">
        <v>107</v>
      </c>
      <c r="S96" s="41"/>
      <c r="T96" s="41"/>
      <c r="U96" s="17"/>
      <c r="V96" s="33"/>
      <c r="W96" s="56"/>
      <c r="X96" s="28"/>
      <c r="Y96" s="28"/>
      <c r="Z96" s="28"/>
      <c r="AA96" s="28"/>
      <c r="AB96" s="28"/>
      <c r="AC96" s="28"/>
      <c r="AD96" s="28"/>
      <c r="AE96" s="28"/>
      <c r="AF96" s="28"/>
      <c r="AG96" s="28"/>
      <c r="AH96" s="28"/>
      <c r="AI96" s="54"/>
    </row>
    <row r="97" spans="1:43" ht="15.75" customHeight="1" x14ac:dyDescent="0.2">
      <c r="B97" s="198"/>
      <c r="C97" s="28"/>
      <c r="D97" s="28"/>
      <c r="E97" s="28"/>
      <c r="F97" s="28"/>
      <c r="G97" s="28"/>
      <c r="H97" s="28"/>
      <c r="I97" s="28"/>
      <c r="J97" s="28"/>
      <c r="K97" s="28"/>
      <c r="L97" s="28"/>
      <c r="M97" s="118"/>
      <c r="N97" s="118"/>
      <c r="O97" s="108"/>
      <c r="P97" s="108"/>
      <c r="Q97" s="41"/>
      <c r="R97" s="29" t="s">
        <v>134</v>
      </c>
      <c r="S97" s="41"/>
      <c r="T97" s="41"/>
      <c r="U97" s="17"/>
      <c r="V97" s="33"/>
      <c r="W97" s="56"/>
      <c r="X97" s="28"/>
      <c r="Y97" s="28"/>
      <c r="Z97" s="28"/>
      <c r="AA97" s="28"/>
      <c r="AB97" s="28"/>
      <c r="AC97" s="28"/>
      <c r="AD97" s="28"/>
      <c r="AE97" s="28"/>
      <c r="AF97" s="28"/>
      <c r="AG97" s="28"/>
      <c r="AH97" s="28"/>
      <c r="AI97" s="54"/>
    </row>
    <row r="98" spans="1:43" ht="15.75" customHeight="1" x14ac:dyDescent="0.2">
      <c r="B98" s="198"/>
      <c r="C98" s="93" t="s">
        <v>57</v>
      </c>
      <c r="D98" s="28"/>
      <c r="E98" s="17"/>
      <c r="F98" s="17"/>
      <c r="G98" s="17"/>
      <c r="H98" s="17"/>
      <c r="I98" s="17"/>
      <c r="J98" s="17"/>
      <c r="K98" s="17"/>
      <c r="L98" s="17"/>
      <c r="M98" s="16"/>
      <c r="N98" s="16"/>
      <c r="O98" s="16"/>
      <c r="P98" s="28"/>
      <c r="Q98" s="54"/>
      <c r="R98" s="29" t="s">
        <v>133</v>
      </c>
      <c r="S98" s="54"/>
      <c r="T98" s="55"/>
      <c r="U98" s="56"/>
      <c r="V98" s="56"/>
      <c r="W98" s="56"/>
      <c r="X98" s="28"/>
      <c r="Y98" s="28"/>
      <c r="Z98" s="28"/>
      <c r="AA98" s="28"/>
      <c r="AB98" s="28"/>
      <c r="AC98" s="28"/>
      <c r="AD98" s="28"/>
      <c r="AE98" s="28"/>
      <c r="AF98" s="28"/>
      <c r="AG98" s="28"/>
      <c r="AH98" s="28"/>
      <c r="AJ98" s="208">
        <v>1</v>
      </c>
    </row>
    <row r="99" spans="1:43" ht="15.75" x14ac:dyDescent="0.2">
      <c r="B99" s="57"/>
      <c r="C99" s="92" t="s">
        <v>86</v>
      </c>
      <c r="D99" s="54"/>
      <c r="E99" s="56"/>
      <c r="F99" s="56"/>
      <c r="G99" s="56"/>
      <c r="H99" s="56"/>
      <c r="I99" s="56"/>
      <c r="J99" s="56"/>
      <c r="K99" s="56"/>
      <c r="L99" s="56"/>
      <c r="M99" s="55"/>
      <c r="N99" s="55"/>
      <c r="O99" s="55"/>
      <c r="P99" s="54"/>
      <c r="Q99" s="54"/>
      <c r="R99" s="54"/>
      <c r="S99" s="54"/>
      <c r="T99" s="54"/>
      <c r="U99" s="54"/>
      <c r="V99" s="54"/>
      <c r="W99" s="55"/>
      <c r="X99" s="28"/>
      <c r="Y99" s="28"/>
      <c r="Z99" s="28"/>
      <c r="AA99" s="28"/>
      <c r="AB99" s="28"/>
      <c r="AC99" s="28"/>
      <c r="AD99" s="28"/>
      <c r="AE99" s="28"/>
      <c r="AF99" s="28"/>
      <c r="AG99" s="28"/>
      <c r="AH99" s="28"/>
    </row>
    <row r="100" spans="1:43" ht="18" customHeight="1" x14ac:dyDescent="0.2">
      <c r="B100" s="198"/>
      <c r="C100" s="19" t="s">
        <v>60</v>
      </c>
      <c r="D100" s="28"/>
      <c r="E100" s="17"/>
      <c r="F100" s="17"/>
      <c r="G100" s="17"/>
      <c r="H100" s="17"/>
      <c r="I100" s="17"/>
      <c r="J100" s="198"/>
      <c r="K100" s="198"/>
      <c r="L100" s="28"/>
      <c r="M100" s="94"/>
      <c r="N100" s="94"/>
      <c r="O100" s="95"/>
      <c r="P100" s="111"/>
      <c r="Q100" s="111"/>
      <c r="R100" s="111"/>
      <c r="S100" s="54"/>
      <c r="T100" s="54"/>
      <c r="U100" s="56"/>
      <c r="V100" s="56"/>
      <c r="W100" s="56"/>
      <c r="X100" s="28"/>
      <c r="Y100" s="28"/>
      <c r="Z100" s="28"/>
      <c r="AA100" s="28"/>
      <c r="AB100" s="28"/>
      <c r="AC100" s="28"/>
      <c r="AD100" s="28"/>
      <c r="AE100" s="28"/>
      <c r="AF100" s="28"/>
      <c r="AG100" s="28"/>
      <c r="AH100" s="28"/>
      <c r="AJ100" s="208">
        <v>0</v>
      </c>
    </row>
    <row r="101" spans="1:43" ht="6" customHeight="1" x14ac:dyDescent="0.2">
      <c r="B101" s="198"/>
      <c r="C101" s="19"/>
      <c r="D101" s="28"/>
      <c r="E101" s="17"/>
      <c r="F101" s="17"/>
      <c r="G101" s="17"/>
      <c r="H101" s="17"/>
      <c r="I101" s="17"/>
      <c r="J101" s="198"/>
      <c r="K101" s="198"/>
      <c r="L101" s="28"/>
      <c r="M101" s="16"/>
      <c r="N101" s="16"/>
      <c r="O101" s="19"/>
      <c r="P101" s="54"/>
      <c r="Q101" s="54"/>
      <c r="R101" s="54"/>
      <c r="S101" s="54"/>
      <c r="T101" s="54"/>
      <c r="U101" s="56"/>
      <c r="V101" s="56"/>
      <c r="W101" s="56"/>
      <c r="X101" s="28"/>
      <c r="Y101" s="28"/>
      <c r="Z101" s="28"/>
      <c r="AA101" s="28"/>
      <c r="AB101" s="28"/>
      <c r="AC101" s="28"/>
      <c r="AD101" s="28"/>
      <c r="AE101" s="28"/>
      <c r="AF101" s="28"/>
      <c r="AG101" s="28"/>
      <c r="AH101" s="28"/>
    </row>
    <row r="102" spans="1:43" ht="18" customHeight="1" x14ac:dyDescent="0.2">
      <c r="B102" s="198"/>
      <c r="C102" s="19" t="s">
        <v>58</v>
      </c>
      <c r="D102" s="28"/>
      <c r="E102" s="17"/>
      <c r="F102" s="17"/>
      <c r="G102" s="17"/>
      <c r="H102" s="17"/>
      <c r="I102" s="17"/>
      <c r="J102" s="198"/>
      <c r="K102" s="198"/>
      <c r="L102" s="28"/>
      <c r="M102" s="94"/>
      <c r="N102" s="94"/>
      <c r="O102" s="95"/>
      <c r="P102" s="111"/>
      <c r="Q102" s="111"/>
      <c r="R102" s="111"/>
      <c r="S102" s="54"/>
      <c r="T102" s="56"/>
      <c r="U102" s="56"/>
      <c r="V102" s="56"/>
      <c r="W102" s="56"/>
      <c r="X102" s="28"/>
      <c r="Y102" s="28"/>
      <c r="Z102" s="28"/>
      <c r="AA102" s="28"/>
      <c r="AB102" s="28"/>
      <c r="AC102" s="28"/>
      <c r="AD102" s="28"/>
      <c r="AE102" s="28"/>
      <c r="AF102" s="28"/>
      <c r="AG102" s="28"/>
      <c r="AH102" s="28"/>
      <c r="AJ102" s="208">
        <v>0</v>
      </c>
      <c r="AO102" s="216"/>
    </row>
    <row r="103" spans="1:43" ht="8.1" customHeight="1" x14ac:dyDescent="0.2">
      <c r="B103" s="57"/>
      <c r="C103" s="32"/>
      <c r="D103" s="32"/>
      <c r="E103" s="32"/>
      <c r="F103" s="32"/>
      <c r="G103" s="32"/>
      <c r="H103" s="32"/>
      <c r="I103" s="19"/>
      <c r="J103" s="19"/>
      <c r="K103" s="19"/>
      <c r="L103" s="19"/>
      <c r="M103" s="19"/>
      <c r="N103" s="43"/>
      <c r="O103" s="28"/>
      <c r="P103" s="57"/>
      <c r="Q103" s="57"/>
      <c r="R103" s="57"/>
      <c r="S103" s="57"/>
      <c r="T103" s="55"/>
      <c r="U103" s="55"/>
      <c r="V103" s="55"/>
      <c r="W103" s="55"/>
      <c r="X103" s="56"/>
      <c r="Y103" s="60"/>
      <c r="Z103" s="60"/>
      <c r="AA103" s="56"/>
      <c r="AB103" s="56"/>
      <c r="AC103" s="56"/>
      <c r="AD103" s="56"/>
      <c r="AE103" s="56"/>
      <c r="AF103" s="56"/>
      <c r="AG103" s="56"/>
      <c r="AH103" s="55"/>
      <c r="AI103" s="54"/>
      <c r="AJ103" s="217" t="e">
        <f>IF((M95)*N91/1000&lt;0,0,IF(AND(AJ91=FALSE,(M95&gt;12)),0,(M95)*N91/1000))</f>
        <v>#VALUE!</v>
      </c>
      <c r="AK103" s="208" t="s">
        <v>82</v>
      </c>
      <c r="AL103" s="208" t="s">
        <v>87</v>
      </c>
    </row>
    <row r="104" spans="1:43" ht="15.75" customHeight="1" x14ac:dyDescent="0.2">
      <c r="A104" s="39"/>
      <c r="B104" s="40"/>
      <c r="C104" s="48"/>
      <c r="D104" s="48"/>
      <c r="E104" s="48"/>
      <c r="F104" s="48"/>
      <c r="G104" s="191" t="s">
        <v>65</v>
      </c>
      <c r="H104" s="48"/>
      <c r="I104" s="39"/>
      <c r="J104" s="28"/>
      <c r="K104" s="28"/>
      <c r="L104" s="28"/>
      <c r="M104" s="780"/>
      <c r="N104" s="780"/>
      <c r="O104" s="780"/>
      <c r="P104" s="57"/>
      <c r="Q104" s="57"/>
      <c r="R104" s="57"/>
      <c r="S104" s="39"/>
      <c r="T104" s="39"/>
      <c r="U104" s="39"/>
      <c r="V104" s="39"/>
      <c r="W104" s="55"/>
      <c r="X104" s="58"/>
      <c r="Y104" s="58"/>
      <c r="Z104" s="58"/>
      <c r="AA104" s="58"/>
      <c r="AB104" s="58"/>
      <c r="AC104" s="39"/>
      <c r="AD104" s="39"/>
      <c r="AE104" s="39"/>
      <c r="AF104" s="39"/>
      <c r="AG104" s="39"/>
      <c r="AH104" s="39"/>
      <c r="AI104" s="54"/>
      <c r="AJ104" s="218">
        <f>IF(ISERROR((M93*N91/1000)-12&lt;0),0,IF((OR(AJ100=2,AJ102=2)),M93*1000*(M104/M105),0))</f>
        <v>0</v>
      </c>
      <c r="AK104" s="219" t="s">
        <v>45</v>
      </c>
      <c r="AL104" s="208" t="s">
        <v>88</v>
      </c>
      <c r="AN104" s="218"/>
      <c r="AP104" s="219"/>
      <c r="AQ104" s="219"/>
    </row>
    <row r="105" spans="1:43" ht="15.75" customHeight="1" x14ac:dyDescent="0.2">
      <c r="B105" s="54"/>
      <c r="C105" s="48"/>
      <c r="D105" s="49"/>
      <c r="E105" s="49"/>
      <c r="F105" s="49"/>
      <c r="G105" s="191" t="s">
        <v>70</v>
      </c>
      <c r="H105" s="48"/>
      <c r="I105" s="28"/>
      <c r="J105" s="28"/>
      <c r="K105" s="28"/>
      <c r="L105" s="19"/>
      <c r="M105" s="780"/>
      <c r="N105" s="780"/>
      <c r="O105" s="780"/>
      <c r="P105" s="28"/>
      <c r="Q105" s="28"/>
      <c r="S105" s="28"/>
      <c r="T105" s="28"/>
      <c r="U105" s="28"/>
      <c r="V105" s="28"/>
      <c r="W105" s="28"/>
      <c r="X105" s="28"/>
      <c r="Y105" s="28"/>
      <c r="Z105" s="28"/>
      <c r="AA105" s="28"/>
      <c r="AB105" s="28"/>
      <c r="AC105" s="28"/>
      <c r="AD105" s="28"/>
      <c r="AE105" s="28"/>
      <c r="AF105" s="28"/>
      <c r="AG105" s="28"/>
      <c r="AH105" s="17"/>
    </row>
    <row r="106" spans="1:43" ht="15.75" customHeight="1" x14ac:dyDescent="0.2">
      <c r="B106" s="54"/>
      <c r="C106" s="48"/>
      <c r="D106" s="49"/>
      <c r="E106" s="49"/>
      <c r="F106" s="49"/>
      <c r="G106" s="48"/>
      <c r="H106" s="48"/>
      <c r="I106" s="48"/>
      <c r="J106" s="28"/>
      <c r="K106" s="28"/>
      <c r="L106" s="19"/>
      <c r="M106" s="143"/>
      <c r="N106" s="143"/>
      <c r="O106" s="143"/>
      <c r="P106" s="28"/>
      <c r="Q106" s="28"/>
      <c r="R106" s="28"/>
      <c r="S106" s="28"/>
      <c r="T106" s="30"/>
      <c r="U106" s="30"/>
      <c r="V106" s="17"/>
      <c r="W106" s="17"/>
      <c r="X106" s="17"/>
      <c r="Y106" s="17"/>
      <c r="Z106" s="17"/>
      <c r="AA106" s="17"/>
      <c r="AB106" s="44"/>
      <c r="AC106" s="110"/>
      <c r="AD106" s="110"/>
      <c r="AE106" s="110"/>
      <c r="AF106" s="71"/>
      <c r="AG106" s="71"/>
      <c r="AH106" s="17"/>
    </row>
    <row r="107" spans="1:43" ht="15.75" customHeight="1" x14ac:dyDescent="0.2">
      <c r="B107" s="54"/>
      <c r="C107" s="48"/>
      <c r="D107" s="49"/>
      <c r="E107" s="49"/>
      <c r="F107" s="49"/>
      <c r="G107" s="48"/>
      <c r="H107" s="48"/>
      <c r="I107" s="48"/>
      <c r="J107" s="28"/>
      <c r="K107" s="28"/>
      <c r="L107" s="19"/>
      <c r="M107" s="143"/>
      <c r="N107" s="143"/>
      <c r="O107" s="143"/>
      <c r="P107" s="28"/>
      <c r="Q107" s="22" t="s">
        <v>153</v>
      </c>
      <c r="R107" s="28"/>
      <c r="S107" s="28"/>
      <c r="T107" s="30"/>
      <c r="U107" s="30"/>
      <c r="V107" s="17"/>
      <c r="W107" s="17"/>
      <c r="X107" s="17"/>
      <c r="Y107" s="17"/>
      <c r="Z107" s="17"/>
      <c r="AA107" s="17"/>
      <c r="AB107" s="28"/>
      <c r="AC107" s="781">
        <f>IF(AJ91=TRUE,AJ103,0)</f>
        <v>0</v>
      </c>
      <c r="AD107" s="781"/>
      <c r="AE107" s="781"/>
      <c r="AF107" s="496" t="e">
        <f>IF(AJ103&gt;0,"[kWc]","[kWh]")</f>
        <v>#VALUE!</v>
      </c>
      <c r="AG107" s="496"/>
      <c r="AH107" s="17"/>
    </row>
    <row r="108" spans="1:43"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B108" s="28"/>
      <c r="AC108" s="781">
        <f>IF(AJ91=FALSE,AJ104,0)</f>
        <v>0</v>
      </c>
      <c r="AD108" s="781"/>
      <c r="AE108" s="781"/>
      <c r="AF108" s="496" t="str">
        <f>IF(AJ104&gt;0,"[kWh]","[kWc]")</f>
        <v>[kWc]</v>
      </c>
      <c r="AG108" s="496"/>
      <c r="AH108" s="17"/>
    </row>
    <row r="109" spans="1:43" ht="15.75" customHeight="1" x14ac:dyDescent="0.2">
      <c r="B109" s="54"/>
      <c r="C109" s="54"/>
      <c r="D109" s="203" t="str">
        <f>IF(AC108&gt;0,"Fournir la simulation de production compensatoire de l'installation projetée pour preuve de la production saisonnière requise","")</f>
        <v/>
      </c>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c r="AH109" s="109"/>
      <c r="AJ109" s="212">
        <f>IF(AC84&gt;0,ROUNDDOWN(AC84+AC107,1),ROUNDDOWN(AC83+AC107,1))</f>
        <v>0</v>
      </c>
      <c r="AK109" s="208" t="s">
        <v>45</v>
      </c>
      <c r="AL109" s="208" t="s">
        <v>90</v>
      </c>
    </row>
    <row r="110" spans="1:43"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3"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3" ht="21.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t="str">
        <f>B26&amp;" "&amp; D26</f>
        <v xml:space="preserve">①  Nouvelle construction / agrandissement </v>
      </c>
      <c r="C114" s="28"/>
      <c r="D114" s="28"/>
      <c r="E114" s="28"/>
      <c r="F114" s="28"/>
      <c r="G114" s="28"/>
      <c r="H114" s="28"/>
      <c r="I114" s="28"/>
      <c r="J114" s="28"/>
      <c r="K114" s="28"/>
      <c r="L114" s="28"/>
      <c r="M114" s="28"/>
      <c r="N114" s="28"/>
      <c r="O114" s="28"/>
      <c r="P114" s="28"/>
      <c r="Q114" s="28"/>
      <c r="R114" s="28"/>
      <c r="S114" s="28"/>
      <c r="T114" s="28"/>
      <c r="U114" s="28"/>
      <c r="V114" s="28"/>
      <c r="W114" s="28"/>
      <c r="X114" s="785">
        <f>AC33</f>
        <v>0</v>
      </c>
      <c r="Y114" s="785"/>
      <c r="Z114" s="785"/>
      <c r="AA114" s="97" t="s">
        <v>79</v>
      </c>
      <c r="AB114" s="28"/>
      <c r="AC114" s="28"/>
      <c r="AD114" s="28"/>
      <c r="AE114" s="28"/>
      <c r="AF114" s="28"/>
      <c r="AG114" s="28"/>
      <c r="AH114" s="28"/>
      <c r="AJ114" s="208" t="s">
        <v>96</v>
      </c>
    </row>
    <row r="115" spans="2:42" ht="15.75" customHeight="1" x14ac:dyDescent="0.2">
      <c r="B115" s="28" t="str">
        <f>B37&amp;" "&amp;D37</f>
        <v>②a Dépose de la couverture, bâtiment existant</v>
      </c>
      <c r="C115" s="28"/>
      <c r="D115" s="28"/>
      <c r="E115" s="28"/>
      <c r="F115" s="28"/>
      <c r="G115" s="28"/>
      <c r="H115" s="28"/>
      <c r="I115" s="28"/>
      <c r="J115" s="28"/>
      <c r="K115" s="28"/>
      <c r="L115" s="28"/>
      <c r="M115" s="28"/>
      <c r="N115" s="28"/>
      <c r="O115" s="28"/>
      <c r="P115" s="28"/>
      <c r="Q115" s="28"/>
      <c r="R115" s="28"/>
      <c r="S115" s="28"/>
      <c r="T115" s="28"/>
      <c r="U115" s="28"/>
      <c r="V115" s="28"/>
      <c r="W115" s="28"/>
      <c r="X115" s="785">
        <f>AC48</f>
        <v>0</v>
      </c>
      <c r="Y115" s="785"/>
      <c r="Z115" s="785"/>
      <c r="AA115" s="97" t="s">
        <v>79</v>
      </c>
      <c r="AB115" s="28"/>
      <c r="AC115" s="28"/>
      <c r="AD115" s="28"/>
      <c r="AE115" s="28"/>
      <c r="AF115" s="28"/>
      <c r="AG115" s="28"/>
      <c r="AH115" s="28"/>
      <c r="AJ115" s="208" t="s">
        <v>96</v>
      </c>
    </row>
    <row r="116" spans="2:42" ht="15.75" customHeight="1" x14ac:dyDescent="0.2">
      <c r="B116" s="28" t="str">
        <f>B52&amp;" "&amp;D52</f>
        <v>②b Remplacement chaudière et/ou chauffage électrique</v>
      </c>
      <c r="C116" s="28"/>
      <c r="D116" s="28"/>
      <c r="E116" s="28"/>
      <c r="F116" s="28"/>
      <c r="G116" s="28"/>
      <c r="H116" s="28"/>
      <c r="I116" s="28"/>
      <c r="J116" s="28"/>
      <c r="K116" s="28"/>
      <c r="L116" s="28"/>
      <c r="M116" s="28"/>
      <c r="N116" s="28"/>
      <c r="O116" s="28"/>
      <c r="P116" s="28"/>
      <c r="Q116" s="28"/>
      <c r="R116" s="28"/>
      <c r="S116" s="28"/>
      <c r="T116" s="28"/>
      <c r="U116" s="28"/>
      <c r="V116" s="28"/>
      <c r="W116" s="28"/>
      <c r="X116" s="785">
        <f>IF(AC59&lt;&gt;0,AC59,0)</f>
        <v>0</v>
      </c>
      <c r="Y116" s="785"/>
      <c r="Z116" s="785"/>
      <c r="AA116" s="97" t="s">
        <v>79</v>
      </c>
      <c r="AB116" s="28"/>
      <c r="AC116" s="28"/>
      <c r="AD116" s="28"/>
      <c r="AE116" s="28"/>
      <c r="AF116" s="28"/>
      <c r="AG116" s="28"/>
      <c r="AH116" s="28"/>
      <c r="AJ116" s="208" t="s">
        <v>95</v>
      </c>
    </row>
    <row r="117" spans="2:42" ht="15.75" customHeight="1" x14ac:dyDescent="0.2">
      <c r="B117" s="28"/>
      <c r="C117" s="28"/>
      <c r="D117" s="28"/>
      <c r="E117" s="28"/>
      <c r="F117" s="28"/>
      <c r="G117" s="28"/>
      <c r="H117" s="28"/>
      <c r="I117" s="28"/>
      <c r="J117" s="28"/>
      <c r="K117" s="28"/>
      <c r="L117" s="28"/>
      <c r="M117" s="28"/>
      <c r="N117" s="28"/>
      <c r="O117" s="28"/>
      <c r="P117" s="28"/>
      <c r="Q117" s="28"/>
      <c r="R117" s="28"/>
      <c r="S117" s="28"/>
      <c r="T117" s="28"/>
      <c r="U117" s="28"/>
      <c r="V117" s="28"/>
      <c r="W117" s="28"/>
      <c r="X117" s="254"/>
      <c r="Y117" s="254"/>
      <c r="Z117" s="254"/>
      <c r="AA117" s="97"/>
      <c r="AB117" s="28"/>
      <c r="AC117" s="28"/>
      <c r="AD117" s="785">
        <f>IF(AC64&lt;&gt;0,AC64,0)</f>
        <v>10000</v>
      </c>
      <c r="AE117" s="785"/>
      <c r="AF117" s="97" t="s">
        <v>46</v>
      </c>
      <c r="AG117" s="28"/>
      <c r="AH117" s="28"/>
    </row>
    <row r="118" spans="2:42" ht="15.75" customHeight="1" x14ac:dyDescent="0.2">
      <c r="B118" s="28" t="str">
        <f>B69&amp;" "&amp;D69</f>
        <v xml:space="preserve">③a Rafraîchissement  dans un nouveau bâtiment / agrandissement </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97" t="s">
        <v>79</v>
      </c>
      <c r="AB118" s="28"/>
      <c r="AD118" s="785">
        <f>IF(AC83&lt;&gt;0,AC83,AC84)</f>
        <v>0</v>
      </c>
      <c r="AE118" s="785"/>
      <c r="AF118" s="97" t="s">
        <v>46</v>
      </c>
      <c r="AG118" s="28"/>
      <c r="AH118" s="28"/>
      <c r="AJ118" s="208" t="s">
        <v>95</v>
      </c>
    </row>
    <row r="119" spans="2:42" ht="15.75" customHeight="1" x14ac:dyDescent="0.2">
      <c r="B119" s="28" t="str">
        <f>B88&amp;" "&amp;D88</f>
        <v>③b Rafraîchissement  dans un bâtiment existant</v>
      </c>
      <c r="C119" s="28"/>
      <c r="D119" s="28"/>
      <c r="E119" s="28"/>
      <c r="F119" s="28"/>
      <c r="G119" s="28"/>
      <c r="H119" s="28"/>
      <c r="I119" s="28"/>
      <c r="J119" s="28"/>
      <c r="K119" s="28"/>
      <c r="L119" s="28"/>
      <c r="M119" s="28"/>
      <c r="N119" s="28"/>
      <c r="O119" s="28"/>
      <c r="P119" s="28"/>
      <c r="Q119" s="28"/>
      <c r="R119" s="28"/>
      <c r="S119" s="28"/>
      <c r="T119" s="28"/>
      <c r="U119" s="28"/>
      <c r="V119" s="28"/>
      <c r="W119" s="28"/>
      <c r="X119" s="785">
        <f>IF(AC107&gt;0,AC107,0)</f>
        <v>0</v>
      </c>
      <c r="Y119" s="785"/>
      <c r="Z119" s="785"/>
      <c r="AA119" s="97" t="s">
        <v>79</v>
      </c>
      <c r="AB119" s="28"/>
      <c r="AC119" s="28"/>
      <c r="AD119" s="28"/>
      <c r="AE119" s="28"/>
      <c r="AF119" s="28"/>
      <c r="AG119" s="28"/>
      <c r="AH119" s="28"/>
      <c r="AJ119" s="208" t="s">
        <v>95</v>
      </c>
      <c r="AM119" s="219"/>
      <c r="AN119" s="219"/>
      <c r="AO119" s="219"/>
      <c r="AP119" s="219"/>
    </row>
    <row r="120" spans="2:42" ht="15.75" customHeight="1" x14ac:dyDescent="0.2">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54"/>
      <c r="AD120" s="785">
        <f>IF(AC108&gt;0,AC108,0)</f>
        <v>0</v>
      </c>
      <c r="AE120" s="785"/>
      <c r="AF120" s="97" t="s">
        <v>46</v>
      </c>
      <c r="AG120" s="28"/>
      <c r="AH120" s="28"/>
      <c r="AM120" s="219"/>
      <c r="AN120" s="219"/>
      <c r="AO120" s="219"/>
      <c r="AP120" s="219"/>
    </row>
    <row r="121" spans="2:42" ht="8.1" customHeight="1" x14ac:dyDescent="0.2">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15.75" customHeight="1" x14ac:dyDescent="0.2">
      <c r="B122" s="28"/>
      <c r="C122" s="28"/>
      <c r="D122" s="28"/>
      <c r="E122" s="28"/>
      <c r="F122" s="28"/>
      <c r="G122" s="28"/>
      <c r="H122" s="28"/>
      <c r="I122" s="28"/>
      <c r="K122" s="28"/>
      <c r="L122" s="28"/>
      <c r="N122" s="28"/>
      <c r="O122" s="28"/>
      <c r="P122" s="28"/>
      <c r="Q122" s="28"/>
      <c r="R122" s="28"/>
      <c r="S122" s="28"/>
      <c r="T122" s="28"/>
      <c r="V122" s="106" t="s">
        <v>157</v>
      </c>
      <c r="W122" s="28"/>
      <c r="X122" s="786">
        <f>SUM(X114:Z119)</f>
        <v>0</v>
      </c>
      <c r="Y122" s="786"/>
      <c r="Z122" s="786"/>
      <c r="AA122" s="122" t="s">
        <v>79</v>
      </c>
      <c r="AB122" s="122"/>
      <c r="AC122" s="28"/>
      <c r="AD122" s="28"/>
      <c r="AE122" s="28"/>
      <c r="AF122" s="28"/>
      <c r="AG122" s="28"/>
      <c r="AH122" s="28"/>
      <c r="AK122" s="220" t="str">
        <f>CONCATENATE((TEXT((ROUNDDOWN(SUM(X122),0)),"#'##0"))," [kWh]")</f>
        <v>0 [kWh]</v>
      </c>
      <c r="AL122" s="221" t="s">
        <v>97</v>
      </c>
    </row>
    <row r="123" spans="2:42" ht="15.75" customHeight="1" x14ac:dyDescent="0.2">
      <c r="B123" s="98"/>
      <c r="C123" s="28"/>
      <c r="D123" s="28"/>
      <c r="E123" s="28"/>
      <c r="F123" s="28"/>
      <c r="G123" s="28"/>
      <c r="H123" s="28"/>
      <c r="I123" s="28"/>
      <c r="J123" s="28"/>
      <c r="K123" s="28"/>
      <c r="L123" s="28"/>
      <c r="M123" s="28"/>
      <c r="N123" s="28"/>
      <c r="O123" s="28"/>
      <c r="P123" s="28"/>
      <c r="Q123" s="28"/>
      <c r="R123" s="28"/>
      <c r="S123" s="28"/>
      <c r="T123" s="28"/>
      <c r="U123" s="28"/>
      <c r="V123" s="106" t="s">
        <v>158</v>
      </c>
      <c r="W123" s="28"/>
      <c r="X123" s="28"/>
      <c r="Y123" s="28"/>
      <c r="Z123" s="28"/>
      <c r="AA123" s="28"/>
      <c r="AC123" s="28"/>
      <c r="AD123" s="786">
        <f>SUM(AD114:AE121)</f>
        <v>10000</v>
      </c>
      <c r="AE123" s="786"/>
      <c r="AF123" s="122" t="s">
        <v>46</v>
      </c>
      <c r="AG123" s="122"/>
      <c r="AH123" s="28"/>
    </row>
    <row r="124" spans="2:42" ht="8.1" customHeight="1" thickBot="1"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row>
    <row r="125" spans="2:42" ht="8.1" customHeight="1" thickTop="1" x14ac:dyDescent="0.2">
      <c r="B125" s="12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row>
    <row r="126" spans="2:42" ht="25.5" customHeight="1" x14ac:dyDescent="0.2">
      <c r="B126" s="138" t="s">
        <v>100</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28"/>
      <c r="AA126" s="28"/>
      <c r="AB126" s="28"/>
      <c r="AC126" s="28"/>
      <c r="AD126" s="28"/>
      <c r="AE126" s="28"/>
      <c r="AF126" s="28"/>
      <c r="AG126" s="28"/>
      <c r="AH126" s="28"/>
    </row>
    <row r="127" spans="2:42" ht="8.1" customHeight="1" x14ac:dyDescent="0.2">
      <c r="B127" s="686"/>
      <c r="C127" s="686"/>
      <c r="D127" s="686"/>
      <c r="E127" s="686"/>
      <c r="F127" s="686"/>
      <c r="G127" s="686"/>
      <c r="H127" s="686"/>
      <c r="I127" s="686"/>
      <c r="J127" s="686"/>
      <c r="K127" s="686"/>
      <c r="L127" s="686"/>
      <c r="M127" s="686"/>
      <c r="N127" s="686"/>
      <c r="O127" s="686"/>
      <c r="P127" s="686"/>
      <c r="Q127" s="686"/>
      <c r="R127" s="686"/>
      <c r="S127" s="686"/>
      <c r="T127" s="686"/>
      <c r="U127" s="686"/>
      <c r="V127" s="686"/>
      <c r="W127" s="686"/>
      <c r="X127" s="686"/>
      <c r="Y127" s="686"/>
      <c r="Z127" s="28"/>
      <c r="AA127" s="28"/>
      <c r="AB127" s="28"/>
      <c r="AC127" s="28"/>
      <c r="AD127" s="28"/>
      <c r="AE127" s="28"/>
      <c r="AF127" s="28"/>
      <c r="AG127" s="28"/>
      <c r="AH127" s="28"/>
    </row>
    <row r="128" spans="2:42" ht="15.75" customHeight="1" x14ac:dyDescent="0.2">
      <c r="B128" s="100" t="s">
        <v>171</v>
      </c>
      <c r="C128" s="10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row>
    <row r="129" spans="2:38" ht="8.1" customHeight="1" x14ac:dyDescent="0.2">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28"/>
      <c r="AA129" s="28"/>
      <c r="AB129" s="20"/>
      <c r="AC129" s="20"/>
      <c r="AD129" s="20"/>
      <c r="AE129" s="20"/>
      <c r="AF129" s="20"/>
      <c r="AG129" s="20"/>
      <c r="AH129" s="28"/>
    </row>
    <row r="130" spans="2:38" ht="15.75" customHeight="1" x14ac:dyDescent="0.2">
      <c r="B130" s="498" t="s">
        <v>156</v>
      </c>
      <c r="C130" s="499"/>
      <c r="D130" s="499"/>
      <c r="E130" s="499"/>
      <c r="F130" s="499"/>
      <c r="G130" s="499"/>
      <c r="H130" s="499"/>
      <c r="I130" s="499"/>
      <c r="J130" s="499"/>
      <c r="K130" s="499"/>
      <c r="L130" s="499"/>
      <c r="M130" s="499"/>
      <c r="N130" s="500"/>
      <c r="O130" s="498" t="s">
        <v>109</v>
      </c>
      <c r="P130" s="499"/>
      <c r="Q130" s="499"/>
      <c r="R130" s="498" t="s">
        <v>30</v>
      </c>
      <c r="S130" s="499"/>
      <c r="T130" s="499"/>
      <c r="U130" s="499"/>
      <c r="V130" s="500"/>
      <c r="W130" s="498" t="s">
        <v>144</v>
      </c>
      <c r="X130" s="499"/>
      <c r="Y130" s="499"/>
      <c r="Z130" s="499"/>
      <c r="AA130" s="499"/>
      <c r="AB130" s="500"/>
      <c r="AC130" s="498" t="s">
        <v>154</v>
      </c>
      <c r="AD130" s="499"/>
      <c r="AE130" s="499"/>
      <c r="AF130" s="499"/>
      <c r="AG130" s="500"/>
      <c r="AH130" s="28"/>
    </row>
    <row r="131" spans="2:38" ht="15.75" customHeight="1" x14ac:dyDescent="0.2">
      <c r="B131" s="501"/>
      <c r="C131" s="502"/>
      <c r="D131" s="502"/>
      <c r="E131" s="502"/>
      <c r="F131" s="502"/>
      <c r="G131" s="502"/>
      <c r="H131" s="502"/>
      <c r="I131" s="502"/>
      <c r="J131" s="502"/>
      <c r="K131" s="502"/>
      <c r="L131" s="502"/>
      <c r="M131" s="502"/>
      <c r="N131" s="503"/>
      <c r="O131" s="501"/>
      <c r="P131" s="502"/>
      <c r="Q131" s="502"/>
      <c r="R131" s="501"/>
      <c r="S131" s="502"/>
      <c r="T131" s="502"/>
      <c r="U131" s="502"/>
      <c r="V131" s="503"/>
      <c r="W131" s="501"/>
      <c r="X131" s="502"/>
      <c r="Y131" s="502"/>
      <c r="Z131" s="502"/>
      <c r="AA131" s="502"/>
      <c r="AB131" s="503"/>
      <c r="AC131" s="501"/>
      <c r="AD131" s="502"/>
      <c r="AE131" s="502"/>
      <c r="AF131" s="502"/>
      <c r="AG131" s="503"/>
      <c r="AH131" s="28"/>
    </row>
    <row r="132" spans="2:38" ht="15.75" customHeight="1" x14ac:dyDescent="0.2">
      <c r="B132" s="824" t="s">
        <v>159</v>
      </c>
      <c r="C132" s="825"/>
      <c r="D132" s="825"/>
      <c r="E132" s="825"/>
      <c r="F132" s="825"/>
      <c r="G132" s="825"/>
      <c r="H132" s="825"/>
      <c r="I132" s="825"/>
      <c r="J132" s="825"/>
      <c r="K132" s="825"/>
      <c r="L132" s="825"/>
      <c r="M132" s="825"/>
      <c r="N132" s="826"/>
      <c r="O132" s="789">
        <v>30</v>
      </c>
      <c r="P132" s="789"/>
      <c r="Q132" s="789"/>
      <c r="R132" s="692">
        <v>400</v>
      </c>
      <c r="S132" s="693"/>
      <c r="T132" s="693"/>
      <c r="U132" s="693"/>
      <c r="V132" s="694"/>
      <c r="W132" s="790">
        <f>O132*R132/1000</f>
        <v>12</v>
      </c>
      <c r="X132" s="791"/>
      <c r="Y132" s="791"/>
      <c r="Z132" s="791"/>
      <c r="AA132" s="791"/>
      <c r="AB132" s="792"/>
      <c r="AC132" s="827"/>
      <c r="AD132" s="828"/>
      <c r="AE132" s="828"/>
      <c r="AF132" s="828"/>
      <c r="AG132" s="829"/>
      <c r="AH132" s="28"/>
    </row>
    <row r="133" spans="2:38" ht="15.75" customHeight="1" x14ac:dyDescent="0.2">
      <c r="B133" s="830" t="s">
        <v>160</v>
      </c>
      <c r="C133" s="831"/>
      <c r="D133" s="831"/>
      <c r="E133" s="831"/>
      <c r="F133" s="831"/>
      <c r="G133" s="831"/>
      <c r="H133" s="831"/>
      <c r="I133" s="831"/>
      <c r="J133" s="831"/>
      <c r="K133" s="831"/>
      <c r="L133" s="831"/>
      <c r="M133" s="831"/>
      <c r="N133" s="832"/>
      <c r="O133" s="793">
        <v>3</v>
      </c>
      <c r="P133" s="793"/>
      <c r="Q133" s="793"/>
      <c r="R133" s="593">
        <v>400</v>
      </c>
      <c r="S133" s="594"/>
      <c r="T133" s="594"/>
      <c r="U133" s="594"/>
      <c r="V133" s="595"/>
      <c r="W133" s="833"/>
      <c r="X133" s="834"/>
      <c r="Y133" s="834"/>
      <c r="Z133" s="834"/>
      <c r="AA133" s="834"/>
      <c r="AB133" s="835"/>
      <c r="AC133" s="593">
        <v>1000</v>
      </c>
      <c r="AD133" s="594"/>
      <c r="AE133" s="594"/>
      <c r="AF133" s="594"/>
      <c r="AG133" s="595"/>
      <c r="AH133" s="28"/>
    </row>
    <row r="134" spans="2:38" ht="15.75" customHeight="1" x14ac:dyDescent="0.2">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row>
    <row r="135" spans="2:38" ht="15.75" customHeight="1" x14ac:dyDescent="0.2">
      <c r="B135" s="100" t="s">
        <v>102</v>
      </c>
      <c r="C135" s="100"/>
      <c r="D135" s="30"/>
      <c r="E135" s="30"/>
      <c r="F135" s="30"/>
      <c r="G135" s="30"/>
      <c r="H135" s="30"/>
      <c r="I135" s="30"/>
      <c r="J135" s="30"/>
      <c r="K135" s="30"/>
      <c r="L135" s="30"/>
      <c r="M135" s="30"/>
      <c r="N135" s="30"/>
      <c r="O135" s="30"/>
      <c r="P135" s="30"/>
      <c r="Q135" s="30"/>
      <c r="R135" s="30"/>
      <c r="S135" s="30"/>
      <c r="T135" s="30"/>
      <c r="U135" s="30"/>
      <c r="V135" s="30"/>
      <c r="W135" s="30"/>
      <c r="X135" s="30"/>
      <c r="Y135" s="30"/>
      <c r="Z135" s="20"/>
      <c r="AA135" s="20"/>
      <c r="AB135" s="565" t="s">
        <v>103</v>
      </c>
      <c r="AC135" s="566"/>
      <c r="AD135" s="566"/>
      <c r="AE135" s="566"/>
      <c r="AF135" s="566"/>
      <c r="AG135" s="567"/>
      <c r="AH135" s="28"/>
    </row>
    <row r="136" spans="2:38" ht="15.75" customHeight="1" x14ac:dyDescent="0.2">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590" t="s">
        <v>46</v>
      </c>
      <c r="AC136" s="591"/>
      <c r="AD136" s="591"/>
      <c r="AE136" s="591"/>
      <c r="AF136" s="591"/>
      <c r="AG136" s="592"/>
      <c r="AH136" s="28"/>
    </row>
    <row r="137" spans="2:38" ht="15.75" customHeight="1" x14ac:dyDescent="0.2">
      <c r="B137" s="28"/>
      <c r="C137" s="28" t="s">
        <v>99</v>
      </c>
      <c r="D137" s="52"/>
      <c r="E137" s="52"/>
      <c r="F137" s="52"/>
      <c r="G137" s="52"/>
      <c r="H137" s="52"/>
      <c r="I137" s="568"/>
      <c r="J137" s="569"/>
      <c r="K137" s="569"/>
      <c r="L137" s="569"/>
      <c r="M137" s="569"/>
      <c r="N137" s="569"/>
      <c r="O137" s="569"/>
      <c r="P137" s="569"/>
      <c r="Q137" s="569"/>
      <c r="R137" s="569"/>
      <c r="S137" s="569"/>
      <c r="T137" s="569"/>
      <c r="U137" s="569"/>
      <c r="V137" s="569"/>
      <c r="W137" s="569"/>
      <c r="X137" s="569"/>
      <c r="Y137" s="569"/>
      <c r="Z137" s="570"/>
      <c r="AA137" s="19"/>
      <c r="AB137" s="807"/>
      <c r="AC137" s="808"/>
      <c r="AD137" s="808"/>
      <c r="AE137" s="808"/>
      <c r="AF137" s="808"/>
      <c r="AG137" s="809"/>
      <c r="AH137" s="28"/>
    </row>
    <row r="138" spans="2:38" ht="15.75" customHeight="1" x14ac:dyDescent="0.2">
      <c r="B138" s="28"/>
      <c r="C138" s="52"/>
      <c r="D138" s="52"/>
      <c r="E138" s="52"/>
      <c r="F138" s="52"/>
      <c r="G138" s="52"/>
      <c r="H138" s="52"/>
      <c r="I138" s="28"/>
      <c r="J138" s="52"/>
      <c r="K138" s="52"/>
      <c r="L138" s="52"/>
      <c r="M138" s="52"/>
      <c r="N138" s="52"/>
      <c r="O138" s="52"/>
      <c r="P138" s="52"/>
      <c r="R138" s="28"/>
      <c r="S138" s="37"/>
      <c r="T138" s="28"/>
      <c r="U138" s="28"/>
      <c r="V138" s="20"/>
      <c r="W138" s="20"/>
      <c r="X138" s="20"/>
      <c r="Y138" s="177" t="str">
        <f>IF(AB137&lt;&gt;0,"Joindre les caractéristiques techniques de la production d'électricité","")</f>
        <v/>
      </c>
      <c r="Z138" s="20"/>
      <c r="AA138" s="20"/>
      <c r="AB138" s="189" t="str">
        <f>IF(AB137&lt;&gt;0,"Fournir EN-VS-133","")</f>
        <v/>
      </c>
      <c r="AC138" s="28"/>
      <c r="AD138" s="20"/>
      <c r="AE138" s="20"/>
      <c r="AF138" s="21"/>
      <c r="AG138" s="123"/>
      <c r="AH138" s="22"/>
    </row>
    <row r="139" spans="2:38" ht="15.75" customHeight="1" x14ac:dyDescent="0.2">
      <c r="B139" s="28"/>
      <c r="C139" s="52"/>
      <c r="D139" s="52"/>
      <c r="E139" s="52"/>
      <c r="F139" s="52"/>
      <c r="G139" s="52"/>
      <c r="H139" s="52"/>
      <c r="I139" s="28"/>
      <c r="J139" s="52"/>
      <c r="K139" s="52"/>
      <c r="L139" s="52"/>
      <c r="M139" s="52"/>
      <c r="N139" s="52"/>
      <c r="O139" s="52"/>
      <c r="P139" s="52"/>
      <c r="Q139" s="52"/>
      <c r="R139" s="28"/>
      <c r="S139" s="37"/>
      <c r="T139" s="28"/>
      <c r="U139" s="28"/>
      <c r="V139" s="20"/>
      <c r="W139" s="20"/>
      <c r="X139" s="20"/>
      <c r="Y139" s="20"/>
      <c r="Z139" s="20"/>
      <c r="AA139" s="20"/>
      <c r="AB139" s="20"/>
      <c r="AC139" s="28"/>
      <c r="AD139" s="20"/>
      <c r="AE139" s="20"/>
      <c r="AF139" s="21"/>
      <c r="AG139" s="209"/>
      <c r="AH139" s="22"/>
      <c r="AK139" s="208" t="s">
        <v>162</v>
      </c>
      <c r="AL139" s="208" t="s">
        <v>161</v>
      </c>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2" t="s">
        <v>163</v>
      </c>
      <c r="U140" s="28"/>
      <c r="V140" s="20"/>
      <c r="W140" s="843">
        <f>W132</f>
        <v>12</v>
      </c>
      <c r="X140" s="844"/>
      <c r="Y140" s="844"/>
      <c r="Z140" s="845" t="s">
        <v>79</v>
      </c>
      <c r="AA140" s="845"/>
      <c r="AB140" s="846"/>
      <c r="AC140" s="843">
        <f>(O133*R133*AC133/1000)+AB137</f>
        <v>1200</v>
      </c>
      <c r="AD140" s="844"/>
      <c r="AE140" s="844"/>
      <c r="AF140" s="844" t="s">
        <v>46</v>
      </c>
      <c r="AG140" s="847"/>
      <c r="AH140" s="22"/>
      <c r="AK140" s="208">
        <f>IF(W140&lt;W142,0,1)</f>
        <v>1</v>
      </c>
      <c r="AL140" s="208">
        <f>IF(AC140&lt;AC142,0,1)</f>
        <v>0</v>
      </c>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836" t="str">
        <f>IF(W142&gt;W140,"&gt;","&lt;")</f>
        <v>&lt;</v>
      </c>
      <c r="X141" s="836"/>
      <c r="Y141" s="836"/>
      <c r="Z141" s="836"/>
      <c r="AA141" s="836"/>
      <c r="AB141" s="836"/>
      <c r="AC141" s="836" t="str">
        <f>IF(AC142&gt;AC140,"&gt;","&lt;")</f>
        <v>&gt;</v>
      </c>
      <c r="AD141" s="836"/>
      <c r="AE141" s="836"/>
      <c r="AF141" s="836"/>
      <c r="AG141" s="836"/>
      <c r="AH141" s="22"/>
      <c r="AK141" s="208" t="str">
        <f>IF(AND(AK140=1,AL140=1), "conforme","non-conforme")</f>
        <v>non-conforme</v>
      </c>
    </row>
    <row r="142" spans="2:38" ht="15.75" customHeight="1" x14ac:dyDescent="0.2">
      <c r="B142" s="28"/>
      <c r="C142" s="52"/>
      <c r="D142" s="52"/>
      <c r="E142" s="52"/>
      <c r="F142" s="52"/>
      <c r="G142" s="52"/>
      <c r="H142" s="52"/>
      <c r="I142" s="28"/>
      <c r="J142" s="52"/>
      <c r="K142" s="52"/>
      <c r="L142" s="52"/>
      <c r="M142" s="52"/>
      <c r="N142" s="52"/>
      <c r="O142" s="52"/>
      <c r="P142" s="52"/>
      <c r="Q142" s="52"/>
      <c r="R142" s="28"/>
      <c r="S142" s="37"/>
      <c r="T142" s="22" t="s">
        <v>164</v>
      </c>
      <c r="U142" s="28"/>
      <c r="V142" s="20"/>
      <c r="W142" s="837">
        <f>X122</f>
        <v>0</v>
      </c>
      <c r="X142" s="838"/>
      <c r="Y142" s="838"/>
      <c r="Z142" s="839" t="s">
        <v>79</v>
      </c>
      <c r="AA142" s="839"/>
      <c r="AB142" s="840"/>
      <c r="AC142" s="837">
        <f>ROUND(AD123,0.1)</f>
        <v>10000</v>
      </c>
      <c r="AD142" s="838"/>
      <c r="AE142" s="838"/>
      <c r="AF142" s="841" t="s">
        <v>46</v>
      </c>
      <c r="AG142" s="842"/>
      <c r="AH142" s="22"/>
    </row>
    <row r="143" spans="2:38" ht="8.1" customHeight="1" x14ac:dyDescent="0.2">
      <c r="B143" s="28"/>
      <c r="C143" s="52"/>
      <c r="D143" s="52"/>
      <c r="E143" s="52"/>
      <c r="F143" s="52"/>
      <c r="G143" s="52"/>
      <c r="H143" s="52"/>
      <c r="I143" s="101"/>
      <c r="J143" s="52"/>
      <c r="K143" s="52"/>
      <c r="L143" s="52"/>
      <c r="M143" s="52"/>
      <c r="N143" s="52"/>
      <c r="O143" s="52"/>
      <c r="P143" s="52"/>
      <c r="Q143" s="52"/>
      <c r="R143" s="28"/>
      <c r="S143" s="37"/>
      <c r="T143" s="28"/>
      <c r="U143" s="28"/>
      <c r="V143" s="20"/>
      <c r="W143" s="20"/>
      <c r="X143" s="20"/>
      <c r="Y143" s="20"/>
      <c r="Z143" s="20"/>
      <c r="AA143" s="28"/>
      <c r="AB143" s="28"/>
      <c r="AC143" s="28"/>
      <c r="AD143" s="28"/>
      <c r="AE143" s="28"/>
      <c r="AF143" s="28"/>
      <c r="AG143" s="28"/>
      <c r="AH143" s="22"/>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row>
    <row r="145" spans="1:39" ht="16.5" customHeight="1" x14ac:dyDescent="0.2">
      <c r="B145" s="629" t="str">
        <f>IF(AND(AK140=1,AL140=1),"L'installation projetée ainsi que les éventuelles autres productions permettent de couvrir les besoins du projet","Les besoins du projet ne sont pas couverts")</f>
        <v>Les besoins du projet ne sont pas couverts</v>
      </c>
      <c r="C145" s="630"/>
      <c r="D145" s="630"/>
      <c r="E145" s="630"/>
      <c r="F145" s="630"/>
      <c r="G145" s="630"/>
      <c r="H145" s="630"/>
      <c r="I145" s="630"/>
      <c r="J145" s="630"/>
      <c r="K145" s="630"/>
      <c r="L145" s="630"/>
      <c r="M145" s="630"/>
      <c r="N145" s="630"/>
      <c r="O145" s="630"/>
      <c r="P145" s="630"/>
      <c r="Q145" s="630"/>
      <c r="R145" s="630"/>
      <c r="S145" s="630"/>
      <c r="T145" s="630"/>
      <c r="U145" s="630"/>
      <c r="V145" s="630"/>
      <c r="W145" s="630"/>
      <c r="X145" s="630"/>
      <c r="Y145" s="630"/>
      <c r="Z145" s="630"/>
      <c r="AA145" s="630"/>
      <c r="AB145" s="630"/>
      <c r="AC145" s="630"/>
      <c r="AD145" s="630"/>
      <c r="AE145" s="630"/>
      <c r="AF145" s="630"/>
      <c r="AG145" s="631"/>
      <c r="AH145" s="124"/>
    </row>
    <row r="146" spans="1:39" ht="16.5" customHeight="1" x14ac:dyDescent="0.2">
      <c r="B146" s="632"/>
      <c r="C146" s="633"/>
      <c r="D146" s="633"/>
      <c r="E146" s="633"/>
      <c r="F146" s="633"/>
      <c r="G146" s="633"/>
      <c r="H146" s="633"/>
      <c r="I146" s="633"/>
      <c r="J146" s="633"/>
      <c r="K146" s="633"/>
      <c r="L146" s="633"/>
      <c r="M146" s="633"/>
      <c r="N146" s="633"/>
      <c r="O146" s="633"/>
      <c r="P146" s="633"/>
      <c r="Q146" s="633"/>
      <c r="R146" s="633"/>
      <c r="S146" s="633"/>
      <c r="T146" s="633"/>
      <c r="U146" s="633"/>
      <c r="V146" s="633"/>
      <c r="W146" s="633"/>
      <c r="X146" s="633"/>
      <c r="Y146" s="633"/>
      <c r="Z146" s="633"/>
      <c r="AA146" s="633"/>
      <c r="AB146" s="633"/>
      <c r="AC146" s="633"/>
      <c r="AD146" s="633"/>
      <c r="AE146" s="633"/>
      <c r="AF146" s="633"/>
      <c r="AG146" s="634"/>
      <c r="AH146" s="124"/>
      <c r="AM146" s="222"/>
    </row>
    <row r="147" spans="1:39" ht="8.1" customHeight="1" x14ac:dyDescent="0.2">
      <c r="B147" s="635"/>
      <c r="C147" s="636"/>
      <c r="D147" s="636"/>
      <c r="E147" s="636"/>
      <c r="F147" s="636"/>
      <c r="G147" s="636"/>
      <c r="H147" s="636"/>
      <c r="I147" s="636"/>
      <c r="J147" s="636"/>
      <c r="K147" s="636"/>
      <c r="L147" s="636"/>
      <c r="M147" s="636"/>
      <c r="N147" s="636"/>
      <c r="O147" s="636"/>
      <c r="P147" s="636"/>
      <c r="Q147" s="636"/>
      <c r="R147" s="636"/>
      <c r="S147" s="636"/>
      <c r="T147" s="636"/>
      <c r="U147" s="636"/>
      <c r="V147" s="636"/>
      <c r="W147" s="636"/>
      <c r="X147" s="636"/>
      <c r="Y147" s="636"/>
      <c r="Z147" s="636"/>
      <c r="AA147" s="636"/>
      <c r="AB147" s="636"/>
      <c r="AC147" s="636"/>
      <c r="AD147" s="636"/>
      <c r="AE147" s="636"/>
      <c r="AF147" s="636"/>
      <c r="AG147" s="637"/>
      <c r="AH147" s="22"/>
    </row>
    <row r="148" spans="1:39" ht="15.75" customHeight="1" x14ac:dyDescent="0.2">
      <c r="A148" s="28"/>
      <c r="B148" s="38" t="s">
        <v>155</v>
      </c>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row>
    <row r="149" spans="1:39" ht="18.75" customHeight="1" x14ac:dyDescent="0.2">
      <c r="B149" s="38"/>
      <c r="C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M149" s="223"/>
    </row>
    <row r="150" spans="1:39" ht="15.75" customHeight="1" x14ac:dyDescent="0.2">
      <c r="B150" s="28"/>
      <c r="C150" s="132" t="s">
        <v>146</v>
      </c>
      <c r="D150" s="132"/>
      <c r="E150" s="133"/>
      <c r="F150" s="133"/>
      <c r="G150" s="133"/>
      <c r="H150" s="133"/>
      <c r="I150" s="133"/>
      <c r="J150" s="133"/>
      <c r="K150" s="133"/>
      <c r="L150" s="133"/>
      <c r="M150" s="133"/>
      <c r="N150" s="133"/>
      <c r="O150" s="133"/>
      <c r="P150" s="133"/>
      <c r="Q150" s="133"/>
      <c r="R150" s="133"/>
      <c r="S150" s="133"/>
      <c r="T150" s="133"/>
      <c r="U150" s="133"/>
      <c r="V150" s="133"/>
      <c r="W150" s="133"/>
      <c r="X150" s="133"/>
      <c r="Y150" s="102"/>
      <c r="Z150" s="28"/>
      <c r="AA150" s="28"/>
      <c r="AB150" s="565" t="s">
        <v>103</v>
      </c>
      <c r="AC150" s="566"/>
      <c r="AD150" s="566"/>
      <c r="AE150" s="566"/>
      <c r="AF150" s="566"/>
      <c r="AG150" s="567"/>
      <c r="AH150" s="28"/>
      <c r="AJ150" s="208" t="b">
        <v>0</v>
      </c>
      <c r="AM150" s="212"/>
    </row>
    <row r="151" spans="1:39" ht="15.75" customHeight="1" x14ac:dyDescent="0.2">
      <c r="B151" s="28"/>
      <c r="C151" s="134" t="s">
        <v>147</v>
      </c>
      <c r="D151" s="134"/>
      <c r="E151" s="133"/>
      <c r="F151" s="133"/>
      <c r="G151" s="133"/>
      <c r="H151" s="133"/>
      <c r="I151" s="133"/>
      <c r="J151" s="133"/>
      <c r="K151" s="133"/>
      <c r="L151" s="133"/>
      <c r="M151" s="133"/>
      <c r="N151" s="133"/>
      <c r="O151" s="133"/>
      <c r="P151" s="133"/>
      <c r="Q151" s="133"/>
      <c r="R151" s="133"/>
      <c r="S151" s="133"/>
      <c r="T151" s="133"/>
      <c r="U151" s="133"/>
      <c r="V151" s="133"/>
      <c r="W151" s="133"/>
      <c r="X151" s="133"/>
      <c r="Y151" s="102"/>
      <c r="Z151" s="28"/>
      <c r="AA151" s="28"/>
      <c r="AB151" s="590" t="s">
        <v>46</v>
      </c>
      <c r="AC151" s="591"/>
      <c r="AD151" s="591"/>
      <c r="AE151" s="591"/>
      <c r="AF151" s="591"/>
      <c r="AG151" s="592"/>
      <c r="AH151" s="28"/>
    </row>
    <row r="152" spans="1:39" ht="15.75" customHeight="1" x14ac:dyDescent="0.2">
      <c r="B152" s="28"/>
      <c r="C152" s="52"/>
      <c r="D152" s="196" t="str">
        <f>IF(AJ150=TRUE,"Fournir dossier selon OcEne art.59 et mentionner la production escomptée ci-contre","")</f>
        <v/>
      </c>
      <c r="E152" s="52"/>
      <c r="F152" s="52"/>
      <c r="G152" s="52"/>
      <c r="H152" s="52"/>
      <c r="I152" s="101"/>
      <c r="J152" s="52"/>
      <c r="K152" s="52"/>
      <c r="L152" s="52"/>
      <c r="M152" s="52"/>
      <c r="N152" s="52"/>
      <c r="O152" s="52"/>
      <c r="P152" s="52"/>
      <c r="Q152" s="52"/>
      <c r="R152" s="28"/>
      <c r="S152" s="37"/>
      <c r="T152" s="28"/>
      <c r="U152" s="28"/>
      <c r="V152" s="20"/>
      <c r="W152" s="20"/>
      <c r="X152" s="20"/>
      <c r="Y152" s="28"/>
      <c r="AA152" s="123" t="str">
        <f>IF(AB152&lt;&gt;0,"fournir un dossier complet selon exigences de l'OcEne art.59 al.2","")</f>
        <v/>
      </c>
      <c r="AB152" s="807"/>
      <c r="AC152" s="808"/>
      <c r="AD152" s="808"/>
      <c r="AE152" s="808"/>
      <c r="AF152" s="808"/>
      <c r="AG152" s="809"/>
      <c r="AH152" s="28"/>
    </row>
    <row r="153" spans="1:39" ht="8.1" customHeight="1" thickBot="1" x14ac:dyDescent="0.25">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row>
    <row r="154" spans="1:39" ht="8.1" customHeight="1" x14ac:dyDescent="0.2">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row>
    <row r="155" spans="1:39" ht="15.75" customHeight="1" x14ac:dyDescent="0.2">
      <c r="B155" s="34" t="s">
        <v>69</v>
      </c>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row>
    <row r="156" spans="1:39" ht="8.1" customHeight="1" x14ac:dyDescent="0.2">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row>
    <row r="157" spans="1:39" ht="15" customHeight="1" x14ac:dyDescent="0.2">
      <c r="B157" s="1"/>
      <c r="C157" s="104"/>
      <c r="D157" s="104" t="s">
        <v>165</v>
      </c>
      <c r="E157" s="28"/>
      <c r="F157" s="28"/>
      <c r="G157" s="28"/>
      <c r="H157" s="28"/>
      <c r="I157" s="28"/>
      <c r="J157" s="28"/>
      <c r="K157" s="28"/>
      <c r="L157" s="28"/>
      <c r="M157" s="28"/>
      <c r="N157" s="28"/>
      <c r="O157" s="28"/>
      <c r="P157" s="28"/>
      <c r="Q157" s="28"/>
      <c r="R157" s="70"/>
      <c r="S157" s="28"/>
      <c r="T157" s="28"/>
      <c r="U157" s="28"/>
      <c r="V157" s="28"/>
      <c r="W157" s="28"/>
      <c r="X157" s="28"/>
      <c r="Y157" s="28"/>
      <c r="Z157" s="28"/>
      <c r="AA157" s="28"/>
      <c r="AB157" s="28"/>
      <c r="AC157" s="28"/>
      <c r="AD157" s="28"/>
      <c r="AE157" s="28"/>
      <c r="AF157" s="28"/>
      <c r="AG157" s="28"/>
      <c r="AH157" s="28"/>
    </row>
    <row r="158" spans="1:39" ht="15" customHeight="1" x14ac:dyDescent="0.2">
      <c r="B158" s="1"/>
      <c r="C158" s="77"/>
      <c r="D158" s="77" t="s">
        <v>166</v>
      </c>
      <c r="E158" s="28"/>
      <c r="F158" s="28"/>
      <c r="G158" s="28"/>
      <c r="H158" s="28"/>
      <c r="I158" s="28"/>
      <c r="J158" s="28"/>
      <c r="K158" s="28"/>
      <c r="L158" s="28"/>
      <c r="M158" s="28"/>
      <c r="N158" s="28"/>
      <c r="O158" s="28"/>
      <c r="P158" s="28"/>
      <c r="Q158" s="28"/>
      <c r="R158" s="70"/>
      <c r="S158" s="28"/>
      <c r="T158" s="28"/>
      <c r="U158" s="28"/>
      <c r="V158" s="28"/>
      <c r="W158" s="28"/>
      <c r="X158" s="28"/>
      <c r="Y158" s="28"/>
      <c r="Z158" s="28"/>
      <c r="AA158" s="28"/>
      <c r="AB158" s="28"/>
      <c r="AC158" s="28"/>
      <c r="AD158" s="28"/>
      <c r="AE158" s="28"/>
      <c r="AF158" s="28"/>
      <c r="AG158" s="28"/>
      <c r="AH158" s="28"/>
    </row>
    <row r="159" spans="1:39" ht="15" customHeight="1" x14ac:dyDescent="0.2">
      <c r="B159" s="1"/>
      <c r="C159" s="77"/>
      <c r="D159" s="77" t="s">
        <v>167</v>
      </c>
      <c r="E159" s="28"/>
      <c r="F159" s="28"/>
      <c r="G159" s="28"/>
      <c r="H159" s="28"/>
      <c r="I159" s="28"/>
      <c r="J159" s="28"/>
      <c r="K159" s="28"/>
      <c r="L159" s="28"/>
      <c r="M159" s="28"/>
      <c r="N159" s="28"/>
      <c r="O159" s="28"/>
      <c r="P159" s="28"/>
      <c r="Q159" s="28"/>
      <c r="R159" s="70"/>
      <c r="S159" s="28"/>
      <c r="T159" s="28"/>
      <c r="U159" s="28"/>
      <c r="V159" s="28"/>
      <c r="W159" s="28"/>
      <c r="X159" s="28"/>
      <c r="Y159" s="28"/>
      <c r="Z159" s="28"/>
      <c r="AA159" s="28"/>
      <c r="AB159" s="28"/>
      <c r="AC159" s="28"/>
      <c r="AD159" s="28"/>
      <c r="AE159" s="28"/>
      <c r="AF159" s="28"/>
      <c r="AG159" s="28"/>
      <c r="AH159" s="28"/>
    </row>
    <row r="160" spans="1:39" ht="15" customHeight="1" x14ac:dyDescent="0.2">
      <c r="B160" s="1"/>
      <c r="C160" s="28"/>
      <c r="D160" s="28" t="str">
        <f>IF(AJ12=1,"Justification de l'intérêt cantonal selon OcEne art.15","")</f>
        <v/>
      </c>
      <c r="E160" s="28"/>
      <c r="F160" s="28"/>
      <c r="G160" s="28"/>
      <c r="H160" s="28"/>
      <c r="I160" s="28"/>
      <c r="J160" s="28"/>
      <c r="K160" s="28"/>
      <c r="L160" s="28"/>
      <c r="M160" s="28"/>
      <c r="N160" s="28"/>
      <c r="O160" s="28"/>
      <c r="P160" s="28"/>
      <c r="Q160" s="28"/>
      <c r="R160" s="70"/>
      <c r="S160" s="28"/>
      <c r="T160" s="28"/>
      <c r="U160" s="28"/>
      <c r="V160" s="28"/>
      <c r="W160" s="28"/>
      <c r="X160" s="28"/>
      <c r="Y160" s="28"/>
      <c r="Z160" s="28"/>
      <c r="AA160" s="28"/>
      <c r="AB160" s="28"/>
      <c r="AC160" s="28"/>
      <c r="AD160" s="28"/>
      <c r="AE160" s="28"/>
      <c r="AF160" s="28"/>
      <c r="AG160" s="28"/>
      <c r="AH160" s="28"/>
    </row>
    <row r="161" spans="2:34" ht="15" customHeight="1" x14ac:dyDescent="0.2">
      <c r="B161" s="28"/>
      <c r="C161" s="90"/>
      <c r="D161" s="90" t="str">
        <f>IF(AJ62=TRUE,"Justification énergie nécessaire au chauffage électrique selon OcEne art. 63 al. 2 (calculs, factures, etc.)","")</f>
        <v>Justification énergie nécessaire au chauffage électrique selon OcEne art. 63 al. 2 (calculs, factures, etc.)</v>
      </c>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row>
    <row r="162" spans="2:34" ht="15" customHeight="1" x14ac:dyDescent="0.2">
      <c r="B162" s="28"/>
      <c r="C162" s="90"/>
      <c r="D162" s="90" t="str">
        <f>IF(AJ43=TRUE,"Certificat CECB draft, état après rénovation","")</f>
        <v/>
      </c>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row>
    <row r="163" spans="2:34" ht="15" customHeight="1" x14ac:dyDescent="0.2">
      <c r="B163" s="28"/>
      <c r="C163" s="90"/>
      <c r="D163" s="90" t="str">
        <f>IF(AJ31=TRUE,"Certificat Minergie et preuves de l'installation solaire existante (photos p.ex.), certificat CECB A/A ou Minergie A/P/Quartier","")</f>
        <v/>
      </c>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row>
    <row r="164" spans="2:34" ht="15" customHeight="1" x14ac:dyDescent="0.2">
      <c r="B164" s="28"/>
      <c r="C164" s="77"/>
      <c r="D164" s="77" t="str">
        <f>IF(AC84&gt;0,"Simulation de la quantité d’électricité nécessaire du bureau spécialisé","")</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 customHeight="1" x14ac:dyDescent="0.2">
      <c r="B165" s="28"/>
      <c r="C165" s="77"/>
      <c r="D165" s="77" t="str">
        <f>IF(AJ22=2,"Caractéristiques techniques de la production d'électricité et justificatif EN-VS-133","")</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 customHeight="1" x14ac:dyDescent="0.2">
      <c r="B166" s="28"/>
      <c r="C166" s="77"/>
      <c r="D166" s="77" t="str">
        <f>IF(AB152&lt;&gt;0,"Dossier complet de demande de participation financière selon OcEne art.59 al.2","")</f>
        <v/>
      </c>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row>
    <row r="167" spans="2:34" ht="15" customHeight="1" x14ac:dyDescent="0.2">
      <c r="B167" s="28"/>
      <c r="C167" s="77"/>
      <c r="D167" s="77" t="str">
        <f>IF(AJ64&lt;&gt;0,"Dossier justification des besoins électriques selon OcEne art.63","")</f>
        <v>Dossier justification des besoins électriques selon OcEne art.63</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 customHeight="1" x14ac:dyDescent="0.2">
      <c r="B168" s="28"/>
      <c r="C168" s="77"/>
      <c r="D168" s="77" t="str">
        <f>IF(AJ64&lt;&gt;0,"Simulation de la production sur site avec énergie produite en période hivernale","")</f>
        <v>Simulation de la production sur site avec énergie produite en période hivernale</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 customHeight="1" x14ac:dyDescent="0.2">
      <c r="B169" s="28"/>
      <c r="C169" s="77"/>
      <c r="D169" s="77" t="str">
        <f>IF(OR(AJ72=1,AJ72=4),"Justificatif EN-VS-101b + EN-VS-110","")</f>
        <v>Justificatif EN-VS-101b + EN-VS-110</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 customHeight="1" x14ac:dyDescent="0.2">
      <c r="B170" s="28"/>
      <c r="C170" s="77"/>
      <c r="D170" s="77" t="str">
        <f>IF(AJ72=5,"Justificatif EN-VS-101a + EN-VS-110","")</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 customHeight="1" x14ac:dyDescent="0.2">
      <c r="B171" s="28"/>
      <c r="C171" s="77"/>
      <c r="D171" s="77" t="str">
        <f>IF(AJ72=6,"Certificat provisoire Minergie-A/P/Quartier ou CECB A/A provisoire avec log-CECB","")</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8.1" customHeight="1" thickBot="1" x14ac:dyDescent="0.25">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row>
    <row r="173" spans="2:34" ht="15.75" customHeight="1" x14ac:dyDescent="0.2">
      <c r="B173" s="523" t="s">
        <v>3</v>
      </c>
      <c r="C173" s="523"/>
      <c r="D173" s="523"/>
      <c r="E173" s="523"/>
      <c r="F173" s="523"/>
      <c r="G173" s="523"/>
      <c r="H173" s="523"/>
      <c r="I173" s="523"/>
      <c r="J173" s="523"/>
      <c r="K173" s="523"/>
      <c r="L173" s="523"/>
      <c r="M173" s="523"/>
      <c r="N173" s="523"/>
      <c r="O173" s="523"/>
      <c r="P173" s="523"/>
      <c r="Q173" s="523"/>
      <c r="R173" s="523"/>
      <c r="S173" s="523"/>
      <c r="T173" s="523"/>
      <c r="U173" s="523"/>
      <c r="V173" s="523"/>
      <c r="W173" s="523"/>
      <c r="X173" s="523"/>
      <c r="Y173" s="523"/>
      <c r="Z173" s="523"/>
      <c r="AA173" s="523"/>
      <c r="AB173" s="523"/>
      <c r="AC173" s="523"/>
      <c r="AD173" s="523"/>
      <c r="AE173" s="523"/>
      <c r="AF173" s="523"/>
      <c r="AG173" s="523"/>
      <c r="AH173" s="523"/>
    </row>
    <row r="174" spans="2:34" ht="9.75" customHeight="1" x14ac:dyDescent="0.2">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28"/>
      <c r="Y174" s="28"/>
      <c r="Z174" s="28"/>
      <c r="AA174" s="28"/>
      <c r="AB174" s="28"/>
      <c r="AC174" s="28"/>
      <c r="AD174" s="28"/>
      <c r="AE174" s="28"/>
      <c r="AF174" s="28"/>
      <c r="AG174" s="28"/>
      <c r="AH174" s="28"/>
    </row>
    <row r="175" spans="2:34" ht="15.75" customHeight="1" x14ac:dyDescent="0.2">
      <c r="B175" s="514"/>
      <c r="C175" s="515"/>
      <c r="D175" s="515"/>
      <c r="E175" s="515"/>
      <c r="F175" s="515"/>
      <c r="G175" s="515"/>
      <c r="H175" s="515"/>
      <c r="I175" s="515"/>
      <c r="J175" s="515"/>
      <c r="K175" s="515"/>
      <c r="L175" s="515"/>
      <c r="M175" s="515"/>
      <c r="N175" s="515"/>
      <c r="O175" s="515"/>
      <c r="P175" s="515"/>
      <c r="Q175" s="515"/>
      <c r="R175" s="515"/>
      <c r="S175" s="515"/>
      <c r="T175" s="515"/>
      <c r="U175" s="515"/>
      <c r="V175" s="515"/>
      <c r="W175" s="515"/>
      <c r="X175" s="515"/>
      <c r="Y175" s="515"/>
      <c r="Z175" s="515"/>
      <c r="AA175" s="515"/>
      <c r="AB175" s="515"/>
      <c r="AC175" s="515"/>
      <c r="AD175" s="515"/>
      <c r="AE175" s="515"/>
      <c r="AF175" s="515"/>
      <c r="AG175" s="516"/>
      <c r="AH175" s="28"/>
    </row>
    <row r="176" spans="2:34" ht="15.75" customHeight="1" x14ac:dyDescent="0.2">
      <c r="B176" s="517"/>
      <c r="C176" s="518"/>
      <c r="D176" s="518"/>
      <c r="E176" s="518"/>
      <c r="F176" s="518"/>
      <c r="G176" s="518"/>
      <c r="H176" s="518"/>
      <c r="I176" s="518"/>
      <c r="J176" s="518"/>
      <c r="K176" s="518"/>
      <c r="L176" s="518"/>
      <c r="M176" s="518"/>
      <c r="N176" s="518"/>
      <c r="O176" s="518"/>
      <c r="P176" s="518"/>
      <c r="Q176" s="518"/>
      <c r="R176" s="518"/>
      <c r="S176" s="518"/>
      <c r="T176" s="518"/>
      <c r="U176" s="518"/>
      <c r="V176" s="518"/>
      <c r="W176" s="518"/>
      <c r="X176" s="518"/>
      <c r="Y176" s="518"/>
      <c r="Z176" s="518"/>
      <c r="AA176" s="518"/>
      <c r="AB176" s="518"/>
      <c r="AC176" s="518"/>
      <c r="AD176" s="518"/>
      <c r="AE176" s="518"/>
      <c r="AF176" s="518"/>
      <c r="AG176" s="519"/>
      <c r="AH176" s="28"/>
    </row>
    <row r="177" spans="2:35" ht="15.75" customHeight="1" x14ac:dyDescent="0.2">
      <c r="B177" s="517"/>
      <c r="C177" s="518"/>
      <c r="D177" s="518"/>
      <c r="E177" s="518"/>
      <c r="F177" s="518"/>
      <c r="G177" s="518"/>
      <c r="H177" s="518"/>
      <c r="I177" s="518"/>
      <c r="J177" s="518"/>
      <c r="K177" s="518"/>
      <c r="L177" s="518"/>
      <c r="M177" s="518"/>
      <c r="N177" s="518"/>
      <c r="O177" s="518"/>
      <c r="P177" s="518"/>
      <c r="Q177" s="518"/>
      <c r="R177" s="518"/>
      <c r="S177" s="518"/>
      <c r="T177" s="518"/>
      <c r="U177" s="518"/>
      <c r="V177" s="518"/>
      <c r="W177" s="518"/>
      <c r="X177" s="518"/>
      <c r="Y177" s="518"/>
      <c r="Z177" s="518"/>
      <c r="AA177" s="518"/>
      <c r="AB177" s="518"/>
      <c r="AC177" s="518"/>
      <c r="AD177" s="518"/>
      <c r="AE177" s="518"/>
      <c r="AF177" s="518"/>
      <c r="AG177" s="519"/>
      <c r="AH177" s="28"/>
    </row>
    <row r="178" spans="2:35" ht="15.75" customHeight="1" x14ac:dyDescent="0.2">
      <c r="B178" s="517"/>
      <c r="C178" s="518"/>
      <c r="D178" s="518"/>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9"/>
      <c r="AH178" s="28"/>
    </row>
    <row r="179" spans="2:35" ht="15.75" customHeight="1" x14ac:dyDescent="0.2">
      <c r="B179" s="517"/>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9"/>
      <c r="AH179" s="28"/>
    </row>
    <row r="180" spans="2:35" ht="15.75" customHeight="1" x14ac:dyDescent="0.2">
      <c r="B180" s="520"/>
      <c r="C180" s="521"/>
      <c r="D180" s="521"/>
      <c r="E180" s="521"/>
      <c r="F180" s="521"/>
      <c r="G180" s="521"/>
      <c r="H180" s="521"/>
      <c r="I180" s="521"/>
      <c r="J180" s="521"/>
      <c r="K180" s="521"/>
      <c r="L180" s="521"/>
      <c r="M180" s="521"/>
      <c r="N180" s="521"/>
      <c r="O180" s="521"/>
      <c r="P180" s="521"/>
      <c r="Q180" s="521"/>
      <c r="R180" s="521"/>
      <c r="S180" s="521"/>
      <c r="T180" s="521"/>
      <c r="U180" s="521"/>
      <c r="V180" s="521"/>
      <c r="W180" s="521"/>
      <c r="X180" s="521"/>
      <c r="Y180" s="521"/>
      <c r="Z180" s="521"/>
      <c r="AA180" s="521"/>
      <c r="AB180" s="521"/>
      <c r="AC180" s="521"/>
      <c r="AD180" s="521"/>
      <c r="AE180" s="521"/>
      <c r="AF180" s="521"/>
      <c r="AG180" s="522"/>
      <c r="AH180" s="28"/>
    </row>
    <row r="181" spans="2:35" ht="8.1" customHeight="1" thickBot="1" x14ac:dyDescent="0.25">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row>
    <row r="182" spans="2:35" ht="8.1" customHeight="1" x14ac:dyDescent="0.2">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row>
    <row r="183" spans="2:35" ht="16.5" customHeight="1" x14ac:dyDescent="0.2">
      <c r="B183" s="523" t="s">
        <v>4</v>
      </c>
      <c r="C183" s="523"/>
      <c r="D183" s="523"/>
      <c r="E183" s="523"/>
      <c r="F183" s="523"/>
      <c r="G183" s="523"/>
      <c r="H183" s="524" t="s">
        <v>9</v>
      </c>
      <c r="I183" s="525"/>
      <c r="J183" s="525"/>
      <c r="K183" s="525"/>
      <c r="L183" s="525"/>
      <c r="M183" s="525"/>
      <c r="N183" s="525"/>
      <c r="O183" s="525"/>
      <c r="P183" s="525"/>
      <c r="Q183" s="525"/>
      <c r="R183" s="525"/>
      <c r="S183" s="525"/>
      <c r="T183" s="525"/>
      <c r="U183" s="816" t="s">
        <v>132</v>
      </c>
      <c r="V183" s="817"/>
      <c r="W183" s="817"/>
      <c r="X183" s="817"/>
      <c r="Y183" s="817"/>
      <c r="Z183" s="817"/>
      <c r="AA183" s="817"/>
      <c r="AB183" s="817"/>
      <c r="AC183" s="817"/>
      <c r="AD183" s="817"/>
      <c r="AE183" s="817"/>
      <c r="AF183" s="817"/>
      <c r="AG183" s="818"/>
      <c r="AH183" s="28"/>
    </row>
    <row r="184" spans="2:35" ht="18.75" customHeight="1" x14ac:dyDescent="0.2">
      <c r="B184" s="198"/>
      <c r="C184" s="198"/>
      <c r="D184" s="198"/>
      <c r="E184" s="198"/>
      <c r="F184" s="198"/>
      <c r="G184" s="198"/>
      <c r="H184" s="814"/>
      <c r="I184" s="815"/>
      <c r="J184" s="815"/>
      <c r="K184" s="815"/>
      <c r="L184" s="815"/>
      <c r="M184" s="815"/>
      <c r="N184" s="815"/>
      <c r="O184" s="815"/>
      <c r="P184" s="815"/>
      <c r="Q184" s="815"/>
      <c r="R184" s="815"/>
      <c r="S184" s="815"/>
      <c r="T184" s="815"/>
      <c r="U184" s="819"/>
      <c r="V184" s="820"/>
      <c r="W184" s="820"/>
      <c r="X184" s="820"/>
      <c r="Y184" s="820"/>
      <c r="Z184" s="820"/>
      <c r="AA184" s="820"/>
      <c r="AB184" s="820"/>
      <c r="AC184" s="820"/>
      <c r="AD184" s="820"/>
      <c r="AE184" s="820"/>
      <c r="AF184" s="820"/>
      <c r="AG184" s="821"/>
      <c r="AH184" s="28"/>
    </row>
    <row r="185" spans="2:35" ht="18.75" customHeight="1" x14ac:dyDescent="0.2">
      <c r="B185" s="17"/>
      <c r="C185" s="536" t="s">
        <v>7</v>
      </c>
      <c r="D185" s="536"/>
      <c r="E185" s="536"/>
      <c r="F185" s="536"/>
      <c r="G185" s="536"/>
      <c r="H185" s="543"/>
      <c r="I185" s="544"/>
      <c r="J185" s="544"/>
      <c r="K185" s="544"/>
      <c r="L185" s="544"/>
      <c r="M185" s="544"/>
      <c r="N185" s="544"/>
      <c r="O185" s="544"/>
      <c r="P185" s="544"/>
      <c r="Q185" s="544"/>
      <c r="R185" s="544"/>
      <c r="S185" s="544"/>
      <c r="T185" s="545"/>
      <c r="U185" s="546"/>
      <c r="V185" s="547"/>
      <c r="W185" s="547"/>
      <c r="X185" s="547"/>
      <c r="Y185" s="547"/>
      <c r="Z185" s="547"/>
      <c r="AA185" s="547"/>
      <c r="AB185" s="547"/>
      <c r="AC185" s="547"/>
      <c r="AD185" s="547"/>
      <c r="AE185" s="547"/>
      <c r="AF185" s="547"/>
      <c r="AG185" s="548"/>
      <c r="AH185" s="28"/>
    </row>
    <row r="186" spans="2:35" ht="18.75" customHeight="1" x14ac:dyDescent="0.2">
      <c r="B186" s="17"/>
      <c r="C186" s="536"/>
      <c r="D186" s="536"/>
      <c r="E186" s="536"/>
      <c r="F186" s="536"/>
      <c r="G186" s="536"/>
      <c r="H186" s="543"/>
      <c r="I186" s="544"/>
      <c r="J186" s="544"/>
      <c r="K186" s="544"/>
      <c r="L186" s="544"/>
      <c r="M186" s="544"/>
      <c r="N186" s="544"/>
      <c r="O186" s="544"/>
      <c r="P186" s="544"/>
      <c r="Q186" s="544"/>
      <c r="R186" s="544"/>
      <c r="S186" s="544"/>
      <c r="T186" s="545"/>
      <c r="U186" s="546"/>
      <c r="V186" s="547"/>
      <c r="W186" s="547"/>
      <c r="X186" s="547"/>
      <c r="Y186" s="547"/>
      <c r="Z186" s="547"/>
      <c r="AA186" s="547"/>
      <c r="AB186" s="547"/>
      <c r="AC186" s="547"/>
      <c r="AD186" s="547"/>
      <c r="AE186" s="547"/>
      <c r="AF186" s="547"/>
      <c r="AG186" s="548"/>
      <c r="AH186" s="28"/>
    </row>
    <row r="187" spans="2:35" ht="18.75" customHeight="1" x14ac:dyDescent="0.2">
      <c r="B187" s="19"/>
      <c r="C187" s="558" t="s">
        <v>5</v>
      </c>
      <c r="D187" s="558"/>
      <c r="E187" s="558"/>
      <c r="F187" s="558"/>
      <c r="G187" s="558"/>
      <c r="H187" s="543"/>
      <c r="I187" s="544"/>
      <c r="J187" s="544"/>
      <c r="K187" s="544"/>
      <c r="L187" s="544"/>
      <c r="M187" s="544"/>
      <c r="N187" s="544"/>
      <c r="O187" s="544"/>
      <c r="P187" s="544"/>
      <c r="Q187" s="544"/>
      <c r="R187" s="544"/>
      <c r="S187" s="544"/>
      <c r="T187" s="545"/>
      <c r="U187" s="559"/>
      <c r="V187" s="560"/>
      <c r="W187" s="560"/>
      <c r="X187" s="560"/>
      <c r="Y187" s="560"/>
      <c r="Z187" s="560"/>
      <c r="AA187" s="560"/>
      <c r="AB187" s="560"/>
      <c r="AC187" s="560"/>
      <c r="AD187" s="560"/>
      <c r="AE187" s="560"/>
      <c r="AF187" s="560"/>
      <c r="AG187" s="561"/>
      <c r="AH187" s="28"/>
    </row>
    <row r="188" spans="2:35" ht="18.75" customHeight="1" x14ac:dyDescent="0.2">
      <c r="B188" s="19"/>
      <c r="C188" s="558" t="s">
        <v>6</v>
      </c>
      <c r="D188" s="558"/>
      <c r="E188" s="558"/>
      <c r="F188" s="558"/>
      <c r="G188" s="558"/>
      <c r="H188" s="543"/>
      <c r="I188" s="544"/>
      <c r="J188" s="544"/>
      <c r="K188" s="544"/>
      <c r="L188" s="544"/>
      <c r="M188" s="544"/>
      <c r="N188" s="544"/>
      <c r="O188" s="544"/>
      <c r="P188" s="544"/>
      <c r="Q188" s="544"/>
      <c r="R188" s="544"/>
      <c r="S188" s="544"/>
      <c r="T188" s="545"/>
      <c r="U188" s="559"/>
      <c r="V188" s="560"/>
      <c r="W188" s="560"/>
      <c r="X188" s="560"/>
      <c r="Y188" s="560"/>
      <c r="Z188" s="560"/>
      <c r="AA188" s="560"/>
      <c r="AB188" s="560"/>
      <c r="AC188" s="560"/>
      <c r="AD188" s="560"/>
      <c r="AE188" s="560"/>
      <c r="AF188" s="560"/>
      <c r="AG188" s="561"/>
      <c r="AH188" s="28"/>
    </row>
    <row r="189" spans="2:35" ht="18.75" customHeight="1" x14ac:dyDescent="0.2">
      <c r="B189" s="17"/>
      <c r="C189" s="536" t="s">
        <v>8</v>
      </c>
      <c r="D189" s="536"/>
      <c r="E189" s="536"/>
      <c r="F189" s="536"/>
      <c r="G189" s="536"/>
      <c r="H189" s="543"/>
      <c r="I189" s="544"/>
      <c r="J189" s="544"/>
      <c r="K189" s="544"/>
      <c r="L189" s="544"/>
      <c r="M189" s="544"/>
      <c r="N189" s="544"/>
      <c r="O189" s="544"/>
      <c r="P189" s="544"/>
      <c r="Q189" s="544"/>
      <c r="R189" s="544"/>
      <c r="S189" s="544"/>
      <c r="T189" s="545"/>
      <c r="U189" s="549"/>
      <c r="V189" s="550"/>
      <c r="W189" s="550"/>
      <c r="X189" s="550"/>
      <c r="Y189" s="550"/>
      <c r="Z189" s="550"/>
      <c r="AA189" s="550"/>
      <c r="AB189" s="550"/>
      <c r="AC189" s="550"/>
      <c r="AD189" s="550"/>
      <c r="AE189" s="550"/>
      <c r="AF189" s="550"/>
      <c r="AG189" s="551"/>
      <c r="AH189" s="28"/>
    </row>
    <row r="190" spans="2:35" ht="18.75" customHeight="1" x14ac:dyDescent="0.2">
      <c r="B190" s="17"/>
      <c r="C190" s="536"/>
      <c r="D190" s="536"/>
      <c r="E190" s="536"/>
      <c r="F190" s="536"/>
      <c r="G190" s="536"/>
      <c r="H190" s="552"/>
      <c r="I190" s="553"/>
      <c r="J190" s="553"/>
      <c r="K190" s="553"/>
      <c r="L190" s="553"/>
      <c r="M190" s="553"/>
      <c r="N190" s="553"/>
      <c r="O190" s="553"/>
      <c r="P190" s="553"/>
      <c r="Q190" s="553"/>
      <c r="R190" s="553"/>
      <c r="S190" s="553"/>
      <c r="T190" s="554"/>
      <c r="U190" s="555"/>
      <c r="V190" s="556"/>
      <c r="W190" s="556"/>
      <c r="X190" s="556"/>
      <c r="Y190" s="556"/>
      <c r="Z190" s="556"/>
      <c r="AA190" s="556"/>
      <c r="AB190" s="556"/>
      <c r="AC190" s="556"/>
      <c r="AD190" s="556"/>
      <c r="AE190" s="556"/>
      <c r="AF190" s="556"/>
      <c r="AG190" s="557"/>
      <c r="AH190" s="28"/>
    </row>
    <row r="191" spans="2:35" ht="16.5" customHeight="1" x14ac:dyDescent="0.2">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row>
    <row r="192" spans="2:35" ht="16.5" hidden="1" customHeight="1" x14ac:dyDescent="0.2">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4"/>
    </row>
    <row r="193" spans="2:35" ht="16.5" hidden="1" customHeight="1" x14ac:dyDescent="0.2">
      <c r="B193" s="53"/>
      <c r="C193" s="53"/>
      <c r="D193" s="53"/>
      <c r="E193" s="53"/>
      <c r="F193" s="53"/>
      <c r="G193" s="53"/>
      <c r="H193" s="53"/>
      <c r="I193" s="53"/>
      <c r="J193" s="53"/>
      <c r="K193" s="53"/>
      <c r="L193" s="53"/>
      <c r="M193" s="53"/>
      <c r="N193" s="53"/>
      <c r="O193" s="53"/>
      <c r="P193" s="53"/>
      <c r="Q193" s="53"/>
      <c r="R193" s="53"/>
      <c r="S193" s="53"/>
      <c r="T193" s="53"/>
      <c r="U193" s="53"/>
      <c r="V193" s="53"/>
      <c r="X193" s="53"/>
      <c r="Y193" s="53"/>
      <c r="Z193" s="53"/>
      <c r="AA193" s="53"/>
      <c r="AB193" s="53"/>
      <c r="AC193" s="53"/>
      <c r="AD193" s="53"/>
      <c r="AE193" s="53"/>
      <c r="AF193" s="53"/>
      <c r="AG193" s="53"/>
      <c r="AH193" s="53"/>
      <c r="AI193" s="54"/>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66"/>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sheetData>
  <mergeCells count="117">
    <mergeCell ref="C189:G190"/>
    <mergeCell ref="H189:T189"/>
    <mergeCell ref="U189:AG189"/>
    <mergeCell ref="H190:T190"/>
    <mergeCell ref="U190:AG190"/>
    <mergeCell ref="C187:G187"/>
    <mergeCell ref="H187:T187"/>
    <mergeCell ref="U187:AG187"/>
    <mergeCell ref="C188:G188"/>
    <mergeCell ref="H188:T188"/>
    <mergeCell ref="U188:AG188"/>
    <mergeCell ref="B183:G183"/>
    <mergeCell ref="H183:T184"/>
    <mergeCell ref="U183:AG184"/>
    <mergeCell ref="C185:G186"/>
    <mergeCell ref="H185:T185"/>
    <mergeCell ref="U185:AG185"/>
    <mergeCell ref="H186:T186"/>
    <mergeCell ref="U186:AG186"/>
    <mergeCell ref="B145:AG147"/>
    <mergeCell ref="AB150:AG150"/>
    <mergeCell ref="AB151:AG151"/>
    <mergeCell ref="AB152:AG152"/>
    <mergeCell ref="B173:AH173"/>
    <mergeCell ref="B175:AG180"/>
    <mergeCell ref="W141:AB141"/>
    <mergeCell ref="AC141:AG141"/>
    <mergeCell ref="W142:Y142"/>
    <mergeCell ref="Z142:AB142"/>
    <mergeCell ref="AC142:AE142"/>
    <mergeCell ref="AF142:AG142"/>
    <mergeCell ref="AB135:AG135"/>
    <mergeCell ref="AB136:AG136"/>
    <mergeCell ref="I137:Z137"/>
    <mergeCell ref="AB137:AG137"/>
    <mergeCell ref="W140:Y140"/>
    <mergeCell ref="Z140:AB140"/>
    <mergeCell ref="AC140:AE140"/>
    <mergeCell ref="AF140:AG140"/>
    <mergeCell ref="B132:N132"/>
    <mergeCell ref="O132:Q132"/>
    <mergeCell ref="R132:V132"/>
    <mergeCell ref="W132:AB132"/>
    <mergeCell ref="AC132:AG132"/>
    <mergeCell ref="B133:N133"/>
    <mergeCell ref="O133:Q133"/>
    <mergeCell ref="R133:V133"/>
    <mergeCell ref="W133:AB133"/>
    <mergeCell ref="AC133:AG133"/>
    <mergeCell ref="X122:Z122"/>
    <mergeCell ref="AD123:AE123"/>
    <mergeCell ref="B127:Y127"/>
    <mergeCell ref="B130:N131"/>
    <mergeCell ref="O130:Q131"/>
    <mergeCell ref="R130:V131"/>
    <mergeCell ref="W130:AB131"/>
    <mergeCell ref="AC130:AG131"/>
    <mergeCell ref="X115:Z115"/>
    <mergeCell ref="X116:Z116"/>
    <mergeCell ref="AD117:AE117"/>
    <mergeCell ref="AD118:AE118"/>
    <mergeCell ref="X119:Z119"/>
    <mergeCell ref="AD120:AE120"/>
    <mergeCell ref="M105:O105"/>
    <mergeCell ref="AC107:AE107"/>
    <mergeCell ref="AF107:AG107"/>
    <mergeCell ref="AC108:AE108"/>
    <mergeCell ref="AF108:AG108"/>
    <mergeCell ref="X114:Z114"/>
    <mergeCell ref="N91:P91"/>
    <mergeCell ref="M93:N93"/>
    <mergeCell ref="M94:N94"/>
    <mergeCell ref="M95:N95"/>
    <mergeCell ref="M96:N96"/>
    <mergeCell ref="M104:O104"/>
    <mergeCell ref="M80:N80"/>
    <mergeCell ref="P81:Q81"/>
    <mergeCell ref="C83:N84"/>
    <mergeCell ref="AC83:AE83"/>
    <mergeCell ref="AF83:AG83"/>
    <mergeCell ref="AC84:AE84"/>
    <mergeCell ref="AF84:AG84"/>
    <mergeCell ref="AC60:AE60"/>
    <mergeCell ref="AF60:AG60"/>
    <mergeCell ref="AC64:AE64"/>
    <mergeCell ref="AF64:AG64"/>
    <mergeCell ref="Z73:AH74"/>
    <mergeCell ref="M79:N79"/>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s>
  <conditionalFormatting sqref="A68:AI71 A72:V72 X72:AI72 A73:Y73 AI73:AI74 A74:C74 E74:Y74">
    <cfRule type="expression" dxfId="44" priority="6">
      <formula>$AL$17=FALSE</formula>
    </cfRule>
  </conditionalFormatting>
  <conditionalFormatting sqref="A75:AI110">
    <cfRule type="expression" dxfId="43" priority="4">
      <formula>$AL$17=FALSE</formula>
    </cfRule>
  </conditionalFormatting>
  <conditionalFormatting sqref="B52">
    <cfRule type="expression" dxfId="42" priority="27">
      <formula>$AK$17=FALSE</formula>
    </cfRule>
  </conditionalFormatting>
  <conditionalFormatting sqref="B36:S38">
    <cfRule type="expression" dxfId="41" priority="25">
      <formula>$AK$17=FALSE</formula>
    </cfRule>
  </conditionalFormatting>
  <conditionalFormatting sqref="B145:AG147">
    <cfRule type="expression" dxfId="40" priority="14">
      <formula>$AK$141="non-conforme"</formula>
    </cfRule>
    <cfRule type="expression" dxfId="39" priority="15">
      <formula>$AK$141="conforme"</formula>
    </cfRule>
  </conditionalFormatting>
  <conditionalFormatting sqref="B61:AH63">
    <cfRule type="expression" dxfId="38" priority="5">
      <formula>$AK$19=FALSE</formula>
    </cfRule>
  </conditionalFormatting>
  <conditionalFormatting sqref="C49">
    <cfRule type="cellIs" dxfId="37" priority="44" operator="equal">
      <formula>"Projet non-soumis à l'art.43 LcEne"</formula>
    </cfRule>
  </conditionalFormatting>
  <conditionalFormatting sqref="C85">
    <cfRule type="expression" dxfId="36" priority="23">
      <formula>OR($AC$83&lt;&gt;0,$AC$84&lt;&gt;0)</formula>
    </cfRule>
  </conditionalFormatting>
  <conditionalFormatting sqref="D74">
    <cfRule type="expression" dxfId="35" priority="2">
      <formula>$AL$17=FALSE</formula>
    </cfRule>
  </conditionalFormatting>
  <conditionalFormatting sqref="D109">
    <cfRule type="expression" dxfId="34" priority="22">
      <formula>OR($AJ$103&lt;&gt;0,$AJ$104&lt;&gt;0)</formula>
    </cfRule>
  </conditionalFormatting>
  <conditionalFormatting sqref="M96:N96">
    <cfRule type="cellIs" dxfId="33" priority="7" operator="equal">
      <formula>0</formula>
    </cfRule>
  </conditionalFormatting>
  <conditionalFormatting sqref="N86">
    <cfRule type="expression" dxfId="32" priority="24">
      <formula>"ou($AC$82&lt;&gt;0;$AC$83&lt;&gt;0)"</formula>
    </cfRule>
  </conditionalFormatting>
  <conditionalFormatting sqref="T36:AH38 AC48:AH49 B39:AH47 B48:AA49 B50:AH50">
    <cfRule type="expression" dxfId="31" priority="30">
      <formula>$AK$17=FALSE</formula>
    </cfRule>
  </conditionalFormatting>
  <conditionalFormatting sqref="W72">
    <cfRule type="expression" dxfId="30" priority="1">
      <formula>$AL$17=FALSE</formula>
    </cfRule>
  </conditionalFormatting>
  <conditionalFormatting sqref="W132:AB132">
    <cfRule type="cellIs" dxfId="29" priority="8" operator="equal">
      <formula>0</formula>
    </cfRule>
  </conditionalFormatting>
  <conditionalFormatting sqref="W140:AB140">
    <cfRule type="expression" dxfId="28" priority="18">
      <formula>$W$140&gt;=$W$142</formula>
    </cfRule>
    <cfRule type="expression" dxfId="27" priority="19">
      <formula>$W$140&lt;$W$142</formula>
    </cfRule>
  </conditionalFormatting>
  <conditionalFormatting sqref="X114:Z119 AD117:AE120">
    <cfRule type="cellIs" dxfId="26" priority="9" operator="equal">
      <formula>0</formula>
    </cfRule>
  </conditionalFormatting>
  <conditionalFormatting sqref="X122:Z122 AD123:AE123">
    <cfRule type="cellIs" dxfId="25" priority="10" operator="equal">
      <formula>0</formula>
    </cfRule>
  </conditionalFormatting>
  <conditionalFormatting sqref="Z73">
    <cfRule type="expression" dxfId="24" priority="3">
      <formula>$AL$17=FALSE</formula>
    </cfRule>
  </conditionalFormatting>
  <conditionalFormatting sqref="AB150:AG152">
    <cfRule type="expression" dxfId="23" priority="26">
      <formula>$AJ$150=FALSE</formula>
    </cfRule>
  </conditionalFormatting>
  <conditionalFormatting sqref="AC38">
    <cfRule type="expression" dxfId="22" priority="29">
      <formula>$AK$17=FALSE</formula>
    </cfRule>
    <cfRule type="cellIs" dxfId="21" priority="40" operator="equal">
      <formula>"Projet exempté"</formula>
    </cfRule>
    <cfRule type="cellIs" dxfId="20" priority="41" operator="equal">
      <formula>"Projet soumis"</formula>
    </cfRule>
  </conditionalFormatting>
  <conditionalFormatting sqref="AC70">
    <cfRule type="cellIs" dxfId="19" priority="38" operator="equal">
      <formula>"Projet exempté"</formula>
    </cfRule>
    <cfRule type="cellIs" dxfId="18" priority="39" operator="equal">
      <formula>"Projet soumis"</formula>
    </cfRule>
  </conditionalFormatting>
  <conditionalFormatting sqref="AC33:AE33">
    <cfRule type="cellIs" dxfId="17" priority="13" operator="equal">
      <formula>0</formula>
    </cfRule>
  </conditionalFormatting>
  <conditionalFormatting sqref="AC48:AE48">
    <cfRule type="cellIs" dxfId="16" priority="12" operator="equal">
      <formula>0</formula>
    </cfRule>
  </conditionalFormatting>
  <conditionalFormatting sqref="AC59:AE59">
    <cfRule type="cellIs" dxfId="15" priority="11" operator="equal">
      <formula>0</formula>
    </cfRule>
  </conditionalFormatting>
  <conditionalFormatting sqref="AC83:AE83">
    <cfRule type="cellIs" dxfId="14" priority="37" operator="equal">
      <formula>0</formula>
    </cfRule>
  </conditionalFormatting>
  <conditionalFormatting sqref="AC107:AG107">
    <cfRule type="expression" dxfId="13" priority="21">
      <formula>$AC$107=0</formula>
    </cfRule>
  </conditionalFormatting>
  <conditionalFormatting sqref="AC108:AG108">
    <cfRule type="expression" dxfId="12" priority="20">
      <formula>$AC$108=0</formula>
    </cfRule>
  </conditionalFormatting>
  <conditionalFormatting sqref="AC140:AG140">
    <cfRule type="expression" dxfId="11" priority="17">
      <formula>$AC$140&lt;$AC$142</formula>
    </cfRule>
    <cfRule type="expression" dxfId="10" priority="16">
      <formula>$AC$140&gt;=$AC$142</formula>
    </cfRule>
  </conditionalFormatting>
  <conditionalFormatting sqref="AC33:AH34 B25:AH32 B33:AA34">
    <cfRule type="expression" dxfId="9" priority="31">
      <formula>$AJ$17=FALSE</formula>
    </cfRule>
  </conditionalFormatting>
  <conditionalFormatting sqref="AC59:AH60 B51:AH51 C52:AH52 B53:AH58 B59:AA60 B64:Q64 S64:AA64 AC64:AH64 B65:O66 Q65:AF66 AH65:AH66 B67:AH67">
    <cfRule type="expression" dxfId="8" priority="28">
      <formula>$AK$19=FALSE</formula>
    </cfRule>
  </conditionalFormatting>
  <conditionalFormatting sqref="AD22:AE23 AG22:AG23">
    <cfRule type="cellIs" dxfId="7" priority="42" operator="equal">
      <formula>"à renseigner"</formula>
    </cfRule>
  </conditionalFormatting>
  <conditionalFormatting sqref="AD12:AH12">
    <cfRule type="cellIs" dxfId="6" priority="43" operator="equal">
      <formula>"à renseigner"</formula>
    </cfRule>
  </conditionalFormatting>
  <conditionalFormatting sqref="AD38:AH42">
    <cfRule type="cellIs" dxfId="5" priority="45" operator="equal">
      <formula>"à renseigner"</formula>
    </cfRule>
  </conditionalFormatting>
  <conditionalFormatting sqref="AE37">
    <cfRule type="cellIs" dxfId="4" priority="36" operator="equal">
      <formula>"à renseigner"</formula>
    </cfRule>
  </conditionalFormatting>
  <conditionalFormatting sqref="AE69:AH69">
    <cfRule type="cellIs" dxfId="3" priority="35" operator="equal">
      <formula>"à renseigner"</formula>
    </cfRule>
  </conditionalFormatting>
  <conditionalFormatting sqref="AF37">
    <cfRule type="expression" dxfId="2" priority="32">
      <formula>$AE$26="pas concerné"</formula>
    </cfRule>
    <cfRule type="cellIs" dxfId="1" priority="33" operator="equal">
      <formula>"pas concerné"</formula>
    </cfRule>
  </conditionalFormatting>
  <conditionalFormatting sqref="AF37:AG37">
    <cfRule type="cellIs" dxfId="0" priority="34"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nchor moveWithCells="1">
                  <from>
                    <xdr:col>1</xdr:col>
                    <xdr:colOff>142875</xdr:colOff>
                    <xdr:row>16</xdr:row>
                    <xdr:rowOff>28575</xdr:rowOff>
                  </from>
                  <to>
                    <xdr:col>2</xdr:col>
                    <xdr:colOff>180975</xdr:colOff>
                    <xdr:row>17</xdr:row>
                    <xdr:rowOff>28575</xdr:rowOff>
                  </to>
                </anchor>
              </controlPr>
            </control>
          </mc:Choice>
        </mc:AlternateContent>
        <mc:AlternateContent xmlns:mc="http://schemas.openxmlformats.org/markup-compatibility/2006">
          <mc:Choice Requires="x14">
            <control shapeId="10242" r:id="rId4" name="Check Box 2">
              <controlPr locked="0" defaultSize="0" autoFill="0" autoLine="0" autoPict="0">
                <anchor moveWithCells="1">
                  <from>
                    <xdr:col>14</xdr:col>
                    <xdr:colOff>180975</xdr:colOff>
                    <xdr:row>16</xdr:row>
                    <xdr:rowOff>38100</xdr:rowOff>
                  </from>
                  <to>
                    <xdr:col>15</xdr:col>
                    <xdr:colOff>180975</xdr:colOff>
                    <xdr:row>17</xdr:row>
                    <xdr:rowOff>28575</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from>
                    <xdr:col>25</xdr:col>
                    <xdr:colOff>219075</xdr:colOff>
                    <xdr:row>15</xdr:row>
                    <xdr:rowOff>104775</xdr:rowOff>
                  </from>
                  <to>
                    <xdr:col>26</xdr:col>
                    <xdr:colOff>180975</xdr:colOff>
                    <xdr:row>16</xdr:row>
                    <xdr:rowOff>142875</xdr:rowOff>
                  </to>
                </anchor>
              </controlPr>
            </control>
          </mc:Choice>
        </mc:AlternateContent>
        <mc:AlternateContent xmlns:mc="http://schemas.openxmlformats.org/markup-compatibility/2006">
          <mc:Choice Requires="x14">
            <control shapeId="10244" r:id="rId6" name="Check Box 4">
              <controlPr locked="0" defaultSize="0" autoFill="0" autoLine="0" autoPict="0">
                <anchor moveWithCells="1">
                  <from>
                    <xdr:col>2</xdr:col>
                    <xdr:colOff>104775</xdr:colOff>
                    <xdr:row>41</xdr:row>
                    <xdr:rowOff>66675</xdr:rowOff>
                  </from>
                  <to>
                    <xdr:col>3</xdr:col>
                    <xdr:colOff>142875</xdr:colOff>
                    <xdr:row>42</xdr:row>
                    <xdr:rowOff>28575</xdr:rowOff>
                  </to>
                </anchor>
              </controlPr>
            </control>
          </mc:Choice>
        </mc:AlternateContent>
        <mc:AlternateContent xmlns:mc="http://schemas.openxmlformats.org/markup-compatibility/2006">
          <mc:Choice Requires="x14">
            <control shapeId="10245" r:id="rId7" name="Check Box 5">
              <controlPr locked="0" defaultSize="0" autoFill="0" autoLine="0" autoPict="0">
                <anchor moveWithCells="1">
                  <from>
                    <xdr:col>2</xdr:col>
                    <xdr:colOff>104775</xdr:colOff>
                    <xdr:row>42</xdr:row>
                    <xdr:rowOff>180975</xdr:rowOff>
                  </from>
                  <to>
                    <xdr:col>3</xdr:col>
                    <xdr:colOff>142875</xdr:colOff>
                    <xdr:row>43</xdr:row>
                    <xdr:rowOff>142875</xdr:rowOff>
                  </to>
                </anchor>
              </controlPr>
            </control>
          </mc:Choice>
        </mc:AlternateContent>
        <mc:AlternateContent xmlns:mc="http://schemas.openxmlformats.org/markup-compatibility/2006">
          <mc:Choice Requires="x14">
            <control shapeId="10246" r:id="rId8" name="Check Box 6">
              <controlPr locked="0" defaultSize="0" autoFill="0" autoLine="0" autoPict="0">
                <anchor moveWithCells="1">
                  <from>
                    <xdr:col>2</xdr:col>
                    <xdr:colOff>104775</xdr:colOff>
                    <xdr:row>44</xdr:row>
                    <xdr:rowOff>0</xdr:rowOff>
                  </from>
                  <to>
                    <xdr:col>3</xdr:col>
                    <xdr:colOff>142875</xdr:colOff>
                    <xdr:row>44</xdr:row>
                    <xdr:rowOff>142875</xdr:rowOff>
                  </to>
                </anchor>
              </controlPr>
            </control>
          </mc:Choice>
        </mc:AlternateContent>
        <mc:AlternateContent xmlns:mc="http://schemas.openxmlformats.org/markup-compatibility/2006">
          <mc:Choice Requires="x14">
            <control shapeId="10247" r:id="rId9" name="Check Box 7">
              <controlPr locked="0" defaultSize="0" autoFill="0" autoLine="0" autoPict="0">
                <anchor moveWithCells="1">
                  <from>
                    <xdr:col>2</xdr:col>
                    <xdr:colOff>104775</xdr:colOff>
                    <xdr:row>45</xdr:row>
                    <xdr:rowOff>28575</xdr:rowOff>
                  </from>
                  <to>
                    <xdr:col>3</xdr:col>
                    <xdr:colOff>142875</xdr:colOff>
                    <xdr:row>46</xdr:row>
                    <xdr:rowOff>28575</xdr:rowOff>
                  </to>
                </anchor>
              </controlPr>
            </control>
          </mc:Choice>
        </mc:AlternateContent>
        <mc:AlternateContent xmlns:mc="http://schemas.openxmlformats.org/markup-compatibility/2006">
          <mc:Choice Requires="x14">
            <control shapeId="10248" r:id="rId10" name="Check Box 8">
              <controlPr locked="0" defaultSize="0" autoFill="0" autoLine="0" autoPict="0">
                <anchor moveWithCells="1">
                  <from>
                    <xdr:col>25</xdr:col>
                    <xdr:colOff>180975</xdr:colOff>
                    <xdr:row>77</xdr:row>
                    <xdr:rowOff>180975</xdr:rowOff>
                  </from>
                  <to>
                    <xdr:col>26</xdr:col>
                    <xdr:colOff>180975</xdr:colOff>
                    <xdr:row>79</xdr:row>
                    <xdr:rowOff>66675</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25</xdr:col>
                    <xdr:colOff>180975</xdr:colOff>
                    <xdr:row>78</xdr:row>
                    <xdr:rowOff>190500</xdr:rowOff>
                  </from>
                  <to>
                    <xdr:col>26</xdr:col>
                    <xdr:colOff>180975</xdr:colOff>
                    <xdr:row>80</xdr:row>
                    <xdr:rowOff>66675</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18</xdr:col>
                    <xdr:colOff>219075</xdr:colOff>
                    <xdr:row>89</xdr:row>
                    <xdr:rowOff>66675</xdr:rowOff>
                  </from>
                  <to>
                    <xdr:col>19</xdr:col>
                    <xdr:colOff>190500</xdr:colOff>
                    <xdr:row>90</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1</xdr:col>
                    <xdr:colOff>38100</xdr:colOff>
                    <xdr:row>164</xdr:row>
                    <xdr:rowOff>28575</xdr:rowOff>
                  </from>
                  <to>
                    <xdr:col>2</xdr:col>
                    <xdr:colOff>66675</xdr:colOff>
                    <xdr:row>165</xdr:row>
                    <xdr:rowOff>28575</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1</xdr:col>
                    <xdr:colOff>38100</xdr:colOff>
                    <xdr:row>158</xdr:row>
                    <xdr:rowOff>28575</xdr:rowOff>
                  </from>
                  <to>
                    <xdr:col>2</xdr:col>
                    <xdr:colOff>66675</xdr:colOff>
                    <xdr:row>158</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1</xdr:col>
                    <xdr:colOff>38100</xdr:colOff>
                    <xdr:row>156</xdr:row>
                    <xdr:rowOff>28575</xdr:rowOff>
                  </from>
                  <to>
                    <xdr:col>2</xdr:col>
                    <xdr:colOff>66675</xdr:colOff>
                    <xdr:row>156</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1</xdr:col>
                    <xdr:colOff>38100</xdr:colOff>
                    <xdr:row>168</xdr:row>
                    <xdr:rowOff>28575</xdr:rowOff>
                  </from>
                  <to>
                    <xdr:col>2</xdr:col>
                    <xdr:colOff>66675</xdr:colOff>
                    <xdr:row>169</xdr:row>
                    <xdr:rowOff>28575</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14</xdr:col>
                    <xdr:colOff>180975</xdr:colOff>
                    <xdr:row>18</xdr:row>
                    <xdr:rowOff>38100</xdr:rowOff>
                  </from>
                  <to>
                    <xdr:col>15</xdr:col>
                    <xdr:colOff>180975</xdr:colOff>
                    <xdr:row>19</xdr:row>
                    <xdr:rowOff>28575</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2</xdr:col>
                    <xdr:colOff>142875</xdr:colOff>
                    <xdr:row>55</xdr:row>
                    <xdr:rowOff>66675</xdr:rowOff>
                  </from>
                  <to>
                    <xdr:col>3</xdr:col>
                    <xdr:colOff>152400</xdr:colOff>
                    <xdr:row>56</xdr:row>
                    <xdr:rowOff>142875</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2</xdr:col>
                    <xdr:colOff>142875</xdr:colOff>
                    <xdr:row>60</xdr:row>
                    <xdr:rowOff>38100</xdr:rowOff>
                  </from>
                  <to>
                    <xdr:col>3</xdr:col>
                    <xdr:colOff>152400</xdr:colOff>
                    <xdr:row>61</xdr:row>
                    <xdr:rowOff>142875</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2</xdr:col>
                    <xdr:colOff>104775</xdr:colOff>
                    <xdr:row>29</xdr:row>
                    <xdr:rowOff>66675</xdr:rowOff>
                  </from>
                  <to>
                    <xdr:col>3</xdr:col>
                    <xdr:colOff>142875</xdr:colOff>
                    <xdr:row>30</xdr:row>
                    <xdr:rowOff>142875</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1</xdr:col>
                    <xdr:colOff>38100</xdr:colOff>
                    <xdr:row>163</xdr:row>
                    <xdr:rowOff>28575</xdr:rowOff>
                  </from>
                  <to>
                    <xdr:col>2</xdr:col>
                    <xdr:colOff>66675</xdr:colOff>
                    <xdr:row>163</xdr:row>
                    <xdr:rowOff>180975</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1</xdr:col>
                    <xdr:colOff>38100</xdr:colOff>
                    <xdr:row>157</xdr:row>
                    <xdr:rowOff>28575</xdr:rowOff>
                  </from>
                  <to>
                    <xdr:col>2</xdr:col>
                    <xdr:colOff>66675</xdr:colOff>
                    <xdr:row>157</xdr:row>
                    <xdr:rowOff>152400</xdr:rowOff>
                  </to>
                </anchor>
              </controlPr>
            </control>
          </mc:Choice>
        </mc:AlternateContent>
        <mc:AlternateContent xmlns:mc="http://schemas.openxmlformats.org/markup-compatibility/2006">
          <mc:Choice Requires="x14">
            <control shapeId="10261" r:id="rId23" name="Option Button 21">
              <controlPr locked="0" defaultSize="0" autoFill="0" autoLine="0" autoPict="0">
                <anchor moveWithCells="1">
                  <from>
                    <xdr:col>11</xdr:col>
                    <xdr:colOff>0</xdr:colOff>
                    <xdr:row>11</xdr:row>
                    <xdr:rowOff>28575</xdr:rowOff>
                  </from>
                  <to>
                    <xdr:col>13</xdr:col>
                    <xdr:colOff>66675</xdr:colOff>
                    <xdr:row>12</xdr:row>
                    <xdr:rowOff>28575</xdr:rowOff>
                  </to>
                </anchor>
              </controlPr>
            </control>
          </mc:Choice>
        </mc:AlternateContent>
        <mc:AlternateContent xmlns:mc="http://schemas.openxmlformats.org/markup-compatibility/2006">
          <mc:Choice Requires="x14">
            <control shapeId="10262" r:id="rId24" name="Option Button 22">
              <controlPr locked="0" defaultSize="0" autoFill="0" autoLine="0" autoPict="0">
                <anchor moveWithCells="1">
                  <from>
                    <xdr:col>13</xdr:col>
                    <xdr:colOff>190500</xdr:colOff>
                    <xdr:row>11</xdr:row>
                    <xdr:rowOff>28575</xdr:rowOff>
                  </from>
                  <to>
                    <xdr:col>17</xdr:col>
                    <xdr:colOff>142875</xdr:colOff>
                    <xdr:row>12</xdr:row>
                    <xdr:rowOff>28575</xdr:rowOff>
                  </to>
                </anchor>
              </controlPr>
            </control>
          </mc:Choice>
        </mc:AlternateContent>
        <mc:AlternateContent xmlns:mc="http://schemas.openxmlformats.org/markup-compatibility/2006">
          <mc:Choice Requires="x14">
            <control shapeId="10263" r:id="rId25" name="Option Button 23">
              <controlPr locked="0" defaultSize="0" autoFill="0" autoLine="0" autoPict="0">
                <anchor moveWithCells="1">
                  <from>
                    <xdr:col>18</xdr:col>
                    <xdr:colOff>76200</xdr:colOff>
                    <xdr:row>20</xdr:row>
                    <xdr:rowOff>219075</xdr:rowOff>
                  </from>
                  <to>
                    <xdr:col>30</xdr:col>
                    <xdr:colOff>485775</xdr:colOff>
                    <xdr:row>22</xdr:row>
                    <xdr:rowOff>104775</xdr:rowOff>
                  </to>
                </anchor>
              </controlPr>
            </control>
          </mc:Choice>
        </mc:AlternateContent>
        <mc:AlternateContent xmlns:mc="http://schemas.openxmlformats.org/markup-compatibility/2006">
          <mc:Choice Requires="x14">
            <control shapeId="10264" r:id="rId26" name="Option Button 24">
              <controlPr locked="0" defaultSize="0" autoFill="0" autoLine="0" autoPict="0">
                <anchor moveWithCells="1">
                  <from>
                    <xdr:col>26</xdr:col>
                    <xdr:colOff>180975</xdr:colOff>
                    <xdr:row>20</xdr:row>
                    <xdr:rowOff>219075</xdr:rowOff>
                  </from>
                  <to>
                    <xdr:col>30</xdr:col>
                    <xdr:colOff>142875</xdr:colOff>
                    <xdr:row>22</xdr:row>
                    <xdr:rowOff>104775</xdr:rowOff>
                  </to>
                </anchor>
              </controlPr>
            </control>
          </mc:Choice>
        </mc:AlternateContent>
        <mc:AlternateContent xmlns:mc="http://schemas.openxmlformats.org/markup-compatibility/2006">
          <mc:Choice Requires="x14">
            <control shapeId="10265" r:id="rId27" name="Group Box 25">
              <controlPr defaultSize="0" autoFill="0" autoPict="0">
                <anchor moveWithCells="1">
                  <from>
                    <xdr:col>18</xdr:col>
                    <xdr:colOff>0</xdr:colOff>
                    <xdr:row>20</xdr:row>
                    <xdr:rowOff>219075</xdr:rowOff>
                  </from>
                  <to>
                    <xdr:col>31</xdr:col>
                    <xdr:colOff>266700</xdr:colOff>
                    <xdr:row>22</xdr:row>
                    <xdr:rowOff>104775</xdr:rowOff>
                  </to>
                </anchor>
              </controlPr>
            </control>
          </mc:Choice>
        </mc:AlternateContent>
        <mc:AlternateContent xmlns:mc="http://schemas.openxmlformats.org/markup-compatibility/2006">
          <mc:Choice Requires="x14">
            <control shapeId="10266" r:id="rId28" name="Option Button 26">
              <controlPr locked="0" defaultSize="0" autoFill="0" autoLine="0" autoPict="0">
                <anchor moveWithCells="1">
                  <from>
                    <xdr:col>1</xdr:col>
                    <xdr:colOff>104775</xdr:colOff>
                    <xdr:row>71</xdr:row>
                    <xdr:rowOff>0</xdr:rowOff>
                  </from>
                  <to>
                    <xdr:col>2</xdr:col>
                    <xdr:colOff>104775</xdr:colOff>
                    <xdr:row>72</xdr:row>
                    <xdr:rowOff>104775</xdr:rowOff>
                  </to>
                </anchor>
              </controlPr>
            </control>
          </mc:Choice>
        </mc:AlternateContent>
        <mc:AlternateContent xmlns:mc="http://schemas.openxmlformats.org/markup-compatibility/2006">
          <mc:Choice Requires="x14">
            <control shapeId="10267" r:id="rId29" name="Option Button 27">
              <controlPr locked="0" defaultSize="0" autoFill="0" autoLine="0" autoPict="0">
                <anchor moveWithCells="1">
                  <from>
                    <xdr:col>1</xdr:col>
                    <xdr:colOff>104775</xdr:colOff>
                    <xdr:row>72</xdr:row>
                    <xdr:rowOff>0</xdr:rowOff>
                  </from>
                  <to>
                    <xdr:col>2</xdr:col>
                    <xdr:colOff>104775</xdr:colOff>
                    <xdr:row>73</xdr:row>
                    <xdr:rowOff>104775</xdr:rowOff>
                  </to>
                </anchor>
              </controlPr>
            </control>
          </mc:Choice>
        </mc:AlternateContent>
        <mc:AlternateContent xmlns:mc="http://schemas.openxmlformats.org/markup-compatibility/2006">
          <mc:Choice Requires="x14">
            <control shapeId="10268" r:id="rId30" name="Option Button 28">
              <controlPr locked="0" defaultSize="0" autoFill="0" autoLine="0" autoPict="0">
                <anchor moveWithCells="1">
                  <from>
                    <xdr:col>1</xdr:col>
                    <xdr:colOff>104775</xdr:colOff>
                    <xdr:row>73</xdr:row>
                    <xdr:rowOff>0</xdr:rowOff>
                  </from>
                  <to>
                    <xdr:col>2</xdr:col>
                    <xdr:colOff>142875</xdr:colOff>
                    <xdr:row>74</xdr:row>
                    <xdr:rowOff>114300</xdr:rowOff>
                  </to>
                </anchor>
              </controlPr>
            </control>
          </mc:Choice>
        </mc:AlternateContent>
        <mc:AlternateContent xmlns:mc="http://schemas.openxmlformats.org/markup-compatibility/2006">
          <mc:Choice Requires="x14">
            <control shapeId="10269" r:id="rId31" name="Option Button 29">
              <controlPr locked="0" defaultSize="0" autoFill="0" autoLine="0" autoPict="0">
                <anchor moveWithCells="1">
                  <from>
                    <xdr:col>12</xdr:col>
                    <xdr:colOff>142875</xdr:colOff>
                    <xdr:row>99</xdr:row>
                    <xdr:rowOff>28575</xdr:rowOff>
                  </from>
                  <to>
                    <xdr:col>14</xdr:col>
                    <xdr:colOff>152400</xdr:colOff>
                    <xdr:row>100</xdr:row>
                    <xdr:rowOff>66675</xdr:rowOff>
                  </to>
                </anchor>
              </controlPr>
            </control>
          </mc:Choice>
        </mc:AlternateContent>
        <mc:AlternateContent xmlns:mc="http://schemas.openxmlformats.org/markup-compatibility/2006">
          <mc:Choice Requires="x14">
            <control shapeId="10270" r:id="rId32" name="Option Button 30">
              <controlPr locked="0" defaultSize="0" autoFill="0" autoLine="0" autoPict="0">
                <anchor moveWithCells="1">
                  <from>
                    <xdr:col>15</xdr:col>
                    <xdr:colOff>66675</xdr:colOff>
                    <xdr:row>99</xdr:row>
                    <xdr:rowOff>28575</xdr:rowOff>
                  </from>
                  <to>
                    <xdr:col>17</xdr:col>
                    <xdr:colOff>142875</xdr:colOff>
                    <xdr:row>100</xdr:row>
                    <xdr:rowOff>66675</xdr:rowOff>
                  </to>
                </anchor>
              </controlPr>
            </control>
          </mc:Choice>
        </mc:AlternateContent>
        <mc:AlternateContent xmlns:mc="http://schemas.openxmlformats.org/markup-compatibility/2006">
          <mc:Choice Requires="x14">
            <control shapeId="10271" r:id="rId33" name="Option Button 31">
              <controlPr locked="0" defaultSize="0" autoFill="0" autoLine="0" autoPict="0">
                <anchor moveWithCells="1">
                  <from>
                    <xdr:col>12</xdr:col>
                    <xdr:colOff>142875</xdr:colOff>
                    <xdr:row>101</xdr:row>
                    <xdr:rowOff>0</xdr:rowOff>
                  </from>
                  <to>
                    <xdr:col>14</xdr:col>
                    <xdr:colOff>142875</xdr:colOff>
                    <xdr:row>102</xdr:row>
                    <xdr:rowOff>66675</xdr:rowOff>
                  </to>
                </anchor>
              </controlPr>
            </control>
          </mc:Choice>
        </mc:AlternateContent>
        <mc:AlternateContent xmlns:mc="http://schemas.openxmlformats.org/markup-compatibility/2006">
          <mc:Choice Requires="x14">
            <control shapeId="10272" r:id="rId34" name="Option Button 32">
              <controlPr locked="0" defaultSize="0" autoFill="0" autoLine="0" autoPict="0">
                <anchor moveWithCells="1">
                  <from>
                    <xdr:col>15</xdr:col>
                    <xdr:colOff>66675</xdr:colOff>
                    <xdr:row>101</xdr:row>
                    <xdr:rowOff>0</xdr:rowOff>
                  </from>
                  <to>
                    <xdr:col>17</xdr:col>
                    <xdr:colOff>142875</xdr:colOff>
                    <xdr:row>102</xdr:row>
                    <xdr:rowOff>66675</xdr:rowOff>
                  </to>
                </anchor>
              </controlPr>
            </control>
          </mc:Choice>
        </mc:AlternateContent>
        <mc:AlternateContent xmlns:mc="http://schemas.openxmlformats.org/markup-compatibility/2006">
          <mc:Choice Requires="x14">
            <control shapeId="10273" r:id="rId35" name="Check Box 33">
              <controlPr locked="0" defaultSize="0" autoFill="0" autoLine="0" autoPict="0">
                <anchor moveWithCells="1">
                  <from>
                    <xdr:col>1</xdr:col>
                    <xdr:colOff>38100</xdr:colOff>
                    <xdr:row>169</xdr:row>
                    <xdr:rowOff>28575</xdr:rowOff>
                  </from>
                  <to>
                    <xdr:col>2</xdr:col>
                    <xdr:colOff>66675</xdr:colOff>
                    <xdr:row>170</xdr:row>
                    <xdr:rowOff>28575</xdr:rowOff>
                  </to>
                </anchor>
              </controlPr>
            </control>
          </mc:Choice>
        </mc:AlternateContent>
        <mc:AlternateContent xmlns:mc="http://schemas.openxmlformats.org/markup-compatibility/2006">
          <mc:Choice Requires="x14">
            <control shapeId="10274" r:id="rId36" name="Check Box 34">
              <controlPr locked="0" defaultSize="0" autoFill="0" autoLine="0" autoPict="0">
                <anchor moveWithCells="1">
                  <from>
                    <xdr:col>1</xdr:col>
                    <xdr:colOff>38100</xdr:colOff>
                    <xdr:row>149</xdr:row>
                    <xdr:rowOff>28575</xdr:rowOff>
                  </from>
                  <to>
                    <xdr:col>2</xdr:col>
                    <xdr:colOff>66675</xdr:colOff>
                    <xdr:row>149</xdr:row>
                    <xdr:rowOff>152400</xdr:rowOff>
                  </to>
                </anchor>
              </controlPr>
            </control>
          </mc:Choice>
        </mc:AlternateContent>
        <mc:AlternateContent xmlns:mc="http://schemas.openxmlformats.org/markup-compatibility/2006">
          <mc:Choice Requires="x14">
            <control shapeId="10275" r:id="rId37" name="Check Box 35">
              <controlPr locked="0" defaultSize="0" autoFill="0" autoLine="0" autoPict="0">
                <anchor moveWithCells="1">
                  <from>
                    <xdr:col>1</xdr:col>
                    <xdr:colOff>38100</xdr:colOff>
                    <xdr:row>170</xdr:row>
                    <xdr:rowOff>28575</xdr:rowOff>
                  </from>
                  <to>
                    <xdr:col>2</xdr:col>
                    <xdr:colOff>66675</xdr:colOff>
                    <xdr:row>171</xdr:row>
                    <xdr:rowOff>28575</xdr:rowOff>
                  </to>
                </anchor>
              </controlPr>
            </control>
          </mc:Choice>
        </mc:AlternateContent>
        <mc:AlternateContent xmlns:mc="http://schemas.openxmlformats.org/markup-compatibility/2006">
          <mc:Choice Requires="x14">
            <control shapeId="10276" r:id="rId38" name="Group Box 36">
              <controlPr defaultSize="0" autoFill="0" autoPict="0">
                <anchor moveWithCells="1">
                  <from>
                    <xdr:col>9</xdr:col>
                    <xdr:colOff>219075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10277" r:id="rId39" name="Option Button 37">
              <controlPr defaultSize="0" autoFill="0" autoLine="0" autoPict="0">
                <anchor moveWithCells="1">
                  <from>
                    <xdr:col>1</xdr:col>
                    <xdr:colOff>104775</xdr:colOff>
                    <xdr:row>74</xdr:row>
                    <xdr:rowOff>28575</xdr:rowOff>
                  </from>
                  <to>
                    <xdr:col>2</xdr:col>
                    <xdr:colOff>142875</xdr:colOff>
                    <xdr:row>75</xdr:row>
                    <xdr:rowOff>142875</xdr:rowOff>
                  </to>
                </anchor>
              </controlPr>
            </control>
          </mc:Choice>
        </mc:AlternateContent>
        <mc:AlternateContent xmlns:mc="http://schemas.openxmlformats.org/markup-compatibility/2006">
          <mc:Choice Requires="x14">
            <control shapeId="10278" r:id="rId40" name="Option Button 38">
              <controlPr defaultSize="0" autoFill="0" autoLine="0" autoPict="0">
                <anchor moveWithCells="1">
                  <from>
                    <xdr:col>1</xdr:col>
                    <xdr:colOff>104775</xdr:colOff>
                    <xdr:row>75</xdr:row>
                    <xdr:rowOff>28575</xdr:rowOff>
                  </from>
                  <to>
                    <xdr:col>2</xdr:col>
                    <xdr:colOff>142875</xdr:colOff>
                    <xdr:row>76</xdr:row>
                    <xdr:rowOff>76200</xdr:rowOff>
                  </to>
                </anchor>
              </controlPr>
            </control>
          </mc:Choice>
        </mc:AlternateContent>
        <mc:AlternateContent xmlns:mc="http://schemas.openxmlformats.org/markup-compatibility/2006">
          <mc:Choice Requires="x14">
            <control shapeId="10279" r:id="rId41" name="Group Box 39">
              <controlPr defaultSize="0" autoFill="0" autoPict="0">
                <anchor moveWithCells="1">
                  <from>
                    <xdr:col>11</xdr:col>
                    <xdr:colOff>219075</xdr:colOff>
                    <xdr:row>98</xdr:row>
                    <xdr:rowOff>180975</xdr:rowOff>
                  </from>
                  <to>
                    <xdr:col>20</xdr:col>
                    <xdr:colOff>66675</xdr:colOff>
                    <xdr:row>101</xdr:row>
                    <xdr:rowOff>0</xdr:rowOff>
                  </to>
                </anchor>
              </controlPr>
            </control>
          </mc:Choice>
        </mc:AlternateContent>
        <mc:AlternateContent xmlns:mc="http://schemas.openxmlformats.org/markup-compatibility/2006">
          <mc:Choice Requires="x14">
            <control shapeId="10280" r:id="rId42" name="Group Box 40">
              <controlPr defaultSize="0" autoFill="0" autoPict="0">
                <anchor moveWithCells="1">
                  <from>
                    <xdr:col>11</xdr:col>
                    <xdr:colOff>190500</xdr:colOff>
                    <xdr:row>100</xdr:row>
                    <xdr:rowOff>66675</xdr:rowOff>
                  </from>
                  <to>
                    <xdr:col>20</xdr:col>
                    <xdr:colOff>66675</xdr:colOff>
                    <xdr:row>101</xdr:row>
                    <xdr:rowOff>180975</xdr:rowOff>
                  </to>
                </anchor>
              </controlPr>
            </control>
          </mc:Choice>
        </mc:AlternateContent>
        <mc:AlternateContent xmlns:mc="http://schemas.openxmlformats.org/markup-compatibility/2006">
          <mc:Choice Requires="x14">
            <control shapeId="10281" r:id="rId43" name="Check Box 41">
              <controlPr locked="0" defaultSize="0" autoFill="0" autoLine="0" autoPict="0">
                <anchor moveWithCells="1">
                  <from>
                    <xdr:col>1</xdr:col>
                    <xdr:colOff>38100</xdr:colOff>
                    <xdr:row>162</xdr:row>
                    <xdr:rowOff>28575</xdr:rowOff>
                  </from>
                  <to>
                    <xdr:col>2</xdr:col>
                    <xdr:colOff>66675</xdr:colOff>
                    <xdr:row>162</xdr:row>
                    <xdr:rowOff>180975</xdr:rowOff>
                  </to>
                </anchor>
              </controlPr>
            </control>
          </mc:Choice>
        </mc:AlternateContent>
        <mc:AlternateContent xmlns:mc="http://schemas.openxmlformats.org/markup-compatibility/2006">
          <mc:Choice Requires="x14">
            <control shapeId="10282" r:id="rId44" name="Check Box 42">
              <controlPr locked="0" defaultSize="0" autoFill="0" autoLine="0" autoPict="0">
                <anchor moveWithCells="1">
                  <from>
                    <xdr:col>1</xdr:col>
                    <xdr:colOff>38100</xdr:colOff>
                    <xdr:row>166</xdr:row>
                    <xdr:rowOff>28575</xdr:rowOff>
                  </from>
                  <to>
                    <xdr:col>2</xdr:col>
                    <xdr:colOff>66675</xdr:colOff>
                    <xdr:row>167</xdr:row>
                    <xdr:rowOff>28575</xdr:rowOff>
                  </to>
                </anchor>
              </controlPr>
            </control>
          </mc:Choice>
        </mc:AlternateContent>
        <mc:AlternateContent xmlns:mc="http://schemas.openxmlformats.org/markup-compatibility/2006">
          <mc:Choice Requires="x14">
            <control shapeId="10283" r:id="rId45" name="Check Box 43">
              <controlPr locked="0" defaultSize="0" autoFill="0" autoLine="0" autoPict="0">
                <anchor moveWithCells="1">
                  <from>
                    <xdr:col>1</xdr:col>
                    <xdr:colOff>38100</xdr:colOff>
                    <xdr:row>161</xdr:row>
                    <xdr:rowOff>28575</xdr:rowOff>
                  </from>
                  <to>
                    <xdr:col>2</xdr:col>
                    <xdr:colOff>66675</xdr:colOff>
                    <xdr:row>161</xdr:row>
                    <xdr:rowOff>180975</xdr:rowOff>
                  </to>
                </anchor>
              </controlPr>
            </control>
          </mc:Choice>
        </mc:AlternateContent>
        <mc:AlternateContent xmlns:mc="http://schemas.openxmlformats.org/markup-compatibility/2006">
          <mc:Choice Requires="x14">
            <control shapeId="10284" r:id="rId46" name="Check Box 44">
              <controlPr locked="0" defaultSize="0" autoFill="0" autoLine="0" autoPict="0">
                <anchor moveWithCells="1">
                  <from>
                    <xdr:col>1</xdr:col>
                    <xdr:colOff>38100</xdr:colOff>
                    <xdr:row>159</xdr:row>
                    <xdr:rowOff>28575</xdr:rowOff>
                  </from>
                  <to>
                    <xdr:col>2</xdr:col>
                    <xdr:colOff>66675</xdr:colOff>
                    <xdr:row>159</xdr:row>
                    <xdr:rowOff>152400</xdr:rowOff>
                  </to>
                </anchor>
              </controlPr>
            </control>
          </mc:Choice>
        </mc:AlternateContent>
        <mc:AlternateContent xmlns:mc="http://schemas.openxmlformats.org/markup-compatibility/2006">
          <mc:Choice Requires="x14">
            <control shapeId="10285" r:id="rId47" name="Check Box 45">
              <controlPr locked="0" defaultSize="0" autoFill="0" autoLine="0" autoPict="0">
                <anchor moveWithCells="1">
                  <from>
                    <xdr:col>1</xdr:col>
                    <xdr:colOff>38100</xdr:colOff>
                    <xdr:row>160</xdr:row>
                    <xdr:rowOff>28575</xdr:rowOff>
                  </from>
                  <to>
                    <xdr:col>2</xdr:col>
                    <xdr:colOff>66675</xdr:colOff>
                    <xdr:row>160</xdr:row>
                    <xdr:rowOff>152400</xdr:rowOff>
                  </to>
                </anchor>
              </controlPr>
            </control>
          </mc:Choice>
        </mc:AlternateContent>
        <mc:AlternateContent xmlns:mc="http://schemas.openxmlformats.org/markup-compatibility/2006">
          <mc:Choice Requires="x14">
            <control shapeId="10286" r:id="rId48" name="Check Box 46">
              <controlPr locked="0" defaultSize="0" autoFill="0" autoLine="0" autoPict="0">
                <anchor moveWithCells="1">
                  <from>
                    <xdr:col>1</xdr:col>
                    <xdr:colOff>38100</xdr:colOff>
                    <xdr:row>165</xdr:row>
                    <xdr:rowOff>28575</xdr:rowOff>
                  </from>
                  <to>
                    <xdr:col>2</xdr:col>
                    <xdr:colOff>66675</xdr:colOff>
                    <xdr:row>166</xdr:row>
                    <xdr:rowOff>28575</xdr:rowOff>
                  </to>
                </anchor>
              </controlPr>
            </control>
          </mc:Choice>
        </mc:AlternateContent>
        <mc:AlternateContent xmlns:mc="http://schemas.openxmlformats.org/markup-compatibility/2006">
          <mc:Choice Requires="x14">
            <control shapeId="10287" r:id="rId49" name="Group Box 47">
              <controlPr defaultSize="0" autoFill="0" autoPict="0">
                <anchor moveWithCells="1">
                  <from>
                    <xdr:col>0</xdr:col>
                    <xdr:colOff>104775</xdr:colOff>
                    <xdr:row>70</xdr:row>
                    <xdr:rowOff>76200</xdr:rowOff>
                  </from>
                  <to>
                    <xdr:col>3</xdr:col>
                    <xdr:colOff>28575</xdr:colOff>
                    <xdr:row>77</xdr:row>
                    <xdr:rowOff>152400</xdr:rowOff>
                  </to>
                </anchor>
              </controlPr>
            </control>
          </mc:Choice>
        </mc:AlternateContent>
        <mc:AlternateContent xmlns:mc="http://schemas.openxmlformats.org/markup-compatibility/2006">
          <mc:Choice Requires="x14">
            <control shapeId="10288" r:id="rId50" name="Check Box 48">
              <controlPr locked="0" defaultSize="0" autoFill="0" autoLine="0" autoPict="0">
                <anchor moveWithCells="1">
                  <from>
                    <xdr:col>1</xdr:col>
                    <xdr:colOff>38100</xdr:colOff>
                    <xdr:row>167</xdr:row>
                    <xdr:rowOff>28575</xdr:rowOff>
                  </from>
                  <to>
                    <xdr:col>2</xdr:col>
                    <xdr:colOff>66675</xdr:colOff>
                    <xdr:row>168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B2:D26"/>
  <sheetViews>
    <sheetView workbookViewId="0">
      <selection activeCell="B22" sqref="B22:D26"/>
    </sheetView>
  </sheetViews>
  <sheetFormatPr baseColWidth="10" defaultColWidth="12" defaultRowHeight="12.75" x14ac:dyDescent="0.2"/>
  <cols>
    <col min="1" max="1" width="12" style="1"/>
    <col min="2" max="2" width="28" style="1" customWidth="1"/>
    <col min="3" max="7" width="12" style="1" customWidth="1"/>
    <col min="8" max="16384" width="12" style="1"/>
  </cols>
  <sheetData>
    <row r="2" spans="2:4" x14ac:dyDescent="0.2">
      <c r="B2" s="4" t="s">
        <v>22</v>
      </c>
      <c r="C2" s="5" t="s">
        <v>23</v>
      </c>
      <c r="D2" s="6" t="s">
        <v>24</v>
      </c>
    </row>
    <row r="3" spans="2:4" x14ac:dyDescent="0.2">
      <c r="B3" s="2" t="s">
        <v>10</v>
      </c>
      <c r="C3" s="7">
        <v>75</v>
      </c>
      <c r="D3" s="8">
        <v>100</v>
      </c>
    </row>
    <row r="4" spans="2:4" x14ac:dyDescent="0.2">
      <c r="B4" s="2" t="s">
        <v>11</v>
      </c>
      <c r="C4" s="7">
        <v>50</v>
      </c>
      <c r="D4" s="8">
        <v>80</v>
      </c>
    </row>
    <row r="5" spans="2:4" x14ac:dyDescent="0.2">
      <c r="B5" s="2" t="s">
        <v>12</v>
      </c>
      <c r="C5" s="7">
        <v>25</v>
      </c>
      <c r="D5" s="8">
        <v>80</v>
      </c>
    </row>
    <row r="6" spans="2:4" x14ac:dyDescent="0.2">
      <c r="B6" s="2" t="s">
        <v>13</v>
      </c>
      <c r="C6" s="7">
        <v>25</v>
      </c>
      <c r="D6" s="8">
        <v>40</v>
      </c>
    </row>
    <row r="7" spans="2:4" x14ac:dyDescent="0.2">
      <c r="B7" s="2" t="s">
        <v>14</v>
      </c>
      <c r="C7" s="7">
        <v>25</v>
      </c>
      <c r="D7" s="8">
        <v>120</v>
      </c>
    </row>
    <row r="8" spans="2:4" x14ac:dyDescent="0.2">
      <c r="B8" s="2" t="s">
        <v>15</v>
      </c>
      <c r="C8" s="7">
        <v>200</v>
      </c>
      <c r="D8" s="8">
        <v>120</v>
      </c>
    </row>
    <row r="9" spans="2:4" x14ac:dyDescent="0.2">
      <c r="B9" s="2" t="s">
        <v>17</v>
      </c>
      <c r="C9" s="7">
        <v>50</v>
      </c>
      <c r="D9" s="8">
        <v>60</v>
      </c>
    </row>
    <row r="10" spans="2:4" x14ac:dyDescent="0.2">
      <c r="B10" s="2" t="s">
        <v>18</v>
      </c>
      <c r="C10" s="7">
        <v>100</v>
      </c>
      <c r="D10" s="8">
        <v>100</v>
      </c>
    </row>
    <row r="11" spans="2:4" x14ac:dyDescent="0.2">
      <c r="B11" s="2" t="s">
        <v>19</v>
      </c>
      <c r="C11" s="7">
        <v>25</v>
      </c>
      <c r="D11" s="8">
        <v>60</v>
      </c>
    </row>
    <row r="12" spans="2:4" x14ac:dyDescent="0.2">
      <c r="B12" s="2" t="s">
        <v>16</v>
      </c>
      <c r="C12" s="7">
        <v>5</v>
      </c>
      <c r="D12" s="8">
        <v>20</v>
      </c>
    </row>
    <row r="13" spans="2:4" x14ac:dyDescent="0.2">
      <c r="B13" s="2" t="s">
        <v>20</v>
      </c>
      <c r="C13" s="7">
        <v>300</v>
      </c>
      <c r="D13" s="8">
        <v>20</v>
      </c>
    </row>
    <row r="14" spans="2:4" x14ac:dyDescent="0.2">
      <c r="B14" s="3" t="s">
        <v>21</v>
      </c>
      <c r="C14" s="9">
        <v>300</v>
      </c>
      <c r="D14" s="10">
        <v>200</v>
      </c>
    </row>
    <row r="16" spans="2:4" x14ac:dyDescent="0.2">
      <c r="B16" s="848" t="s">
        <v>25</v>
      </c>
      <c r="C16" s="849"/>
      <c r="D16" s="850"/>
    </row>
    <row r="17" spans="2:4" x14ac:dyDescent="0.2">
      <c r="B17" s="2" t="s">
        <v>27</v>
      </c>
      <c r="C17" s="1" t="b">
        <v>0</v>
      </c>
      <c r="D17" s="11" t="b">
        <f>AND(C17,NOT(C18))</f>
        <v>0</v>
      </c>
    </row>
    <row r="18" spans="2:4" x14ac:dyDescent="0.2">
      <c r="B18" s="2" t="s">
        <v>26</v>
      </c>
      <c r="C18" s="1" t="b">
        <v>1</v>
      </c>
      <c r="D18" s="11" t="b">
        <f>AND(C18,NOT(C17))</f>
        <v>1</v>
      </c>
    </row>
    <row r="19" spans="2:4" x14ac:dyDescent="0.2">
      <c r="B19" s="2" t="s">
        <v>28</v>
      </c>
      <c r="C19" s="1" t="b">
        <v>1</v>
      </c>
      <c r="D19" s="11"/>
    </row>
    <row r="20" spans="2:4" x14ac:dyDescent="0.2">
      <c r="B20" s="3" t="s">
        <v>29</v>
      </c>
      <c r="C20" s="12" t="b">
        <v>0</v>
      </c>
      <c r="D20" s="13"/>
    </row>
    <row r="22" spans="2:4" x14ac:dyDescent="0.2">
      <c r="B22" s="848" t="s">
        <v>34</v>
      </c>
      <c r="C22" s="849"/>
      <c r="D22" s="850"/>
    </row>
    <row r="23" spans="2:4" ht="12.75" customHeight="1" x14ac:dyDescent="0.2">
      <c r="B23" s="857" t="s">
        <v>35</v>
      </c>
      <c r="C23" s="858"/>
      <c r="D23" s="859"/>
    </row>
    <row r="24" spans="2:4" ht="12.75" customHeight="1" x14ac:dyDescent="0.2">
      <c r="B24" s="860"/>
      <c r="C24" s="861"/>
      <c r="D24" s="862"/>
    </row>
    <row r="25" spans="2:4" x14ac:dyDescent="0.2">
      <c r="B25" s="851" t="s">
        <v>32</v>
      </c>
      <c r="C25" s="852"/>
      <c r="D25" s="853"/>
    </row>
    <row r="26" spans="2:4" x14ac:dyDescent="0.2">
      <c r="B26" s="854" t="s">
        <v>33</v>
      </c>
      <c r="C26" s="855"/>
      <c r="D26" s="856"/>
    </row>
  </sheetData>
  <mergeCells count="5">
    <mergeCell ref="B22:D22"/>
    <mergeCell ref="B16:D16"/>
    <mergeCell ref="B25:D25"/>
    <mergeCell ref="B26:D26"/>
    <mergeCell ref="B23:D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B2:AL28"/>
  <sheetViews>
    <sheetView topLeftCell="B1" zoomScale="124" workbookViewId="0">
      <selection activeCell="I32" sqref="I32"/>
    </sheetView>
  </sheetViews>
  <sheetFormatPr baseColWidth="10" defaultRowHeight="12.75" x14ac:dyDescent="0.2"/>
  <sheetData>
    <row r="2" spans="2:38" x14ac:dyDescent="0.2">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row>
    <row r="3" spans="2:38" x14ac:dyDescent="0.2">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2:38" x14ac:dyDescent="0.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2:38" x14ac:dyDescent="0.2">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row>
    <row r="6" spans="2:38"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2:38" x14ac:dyDescent="0.2">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row>
    <row r="8" spans="2:38"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2:38" x14ac:dyDescent="0.2">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row>
    <row r="10" spans="2:38" x14ac:dyDescent="0.2">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spans="2:38" x14ac:dyDescent="0.2">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2:38"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row>
    <row r="13" spans="2:38"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2:38"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2:38" x14ac:dyDescent="0.2">
      <c r="B15" s="15"/>
      <c r="C15" s="51" t="s">
        <v>74</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2:38" x14ac:dyDescent="0.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2:38" x14ac:dyDescent="0.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2:38"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2:38"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2:38" x14ac:dyDescent="0.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2:38" x14ac:dyDescent="0.2">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2:38" x14ac:dyDescent="0.2">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row>
    <row r="23" spans="2:38" x14ac:dyDescent="0.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2:38" x14ac:dyDescent="0.2">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38"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2:38" x14ac:dyDescent="0.2">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8" spans="2:38" x14ac:dyDescent="0.2">
      <c r="C28" s="51" t="s">
        <v>75</v>
      </c>
    </row>
  </sheetData>
  <hyperlinks>
    <hyperlink ref="C15" r:id="rId1" xr:uid="{00000000-0004-0000-0800-000000000000}"/>
    <hyperlink ref="C28" r:id="rId2" display="https://www.energie-environnement.ch/maison/renovation-et-chauffage/installations/panneaux-solaires-photovoltaiques" xr:uid="{00000000-0004-0000-08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FXW208"/>
  <sheetViews>
    <sheetView tabSelected="1" topLeftCell="A3" zoomScaleNormal="100" workbookViewId="0">
      <selection activeCell="F7" sqref="F7:P7"/>
    </sheetView>
  </sheetViews>
  <sheetFormatPr baseColWidth="10" defaultColWidth="0" defaultRowHeight="12.75"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3.6640625" style="15" customWidth="1"/>
    <col min="7" max="7" width="6" style="15" customWidth="1"/>
    <col min="8"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6" width="13.1640625" style="15" hidden="1" customWidth="1"/>
    <col min="37" max="37" width="15.5" style="208" hidden="1" customWidth="1"/>
    <col min="38" max="38" width="21.5" style="208" hidden="1" customWidth="1"/>
    <col min="39" max="39" width="17.1640625" style="208" hidden="1" customWidth="1"/>
    <col min="40" max="40" width="9.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 style="208" hidden="1" customWidth="1"/>
    <col min="52" max="52" width="7.1640625" style="208" hidden="1" customWidth="1"/>
    <col min="53" max="53" width="9.6640625" style="208" hidden="1" customWidth="1"/>
    <col min="54" max="54" width="13.1640625" style="208" hidden="1" customWidth="1"/>
    <col min="55" max="55" width="21.6640625" style="208" hidden="1" customWidth="1"/>
    <col min="56" max="56" width="6.16406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620"/>
      <c r="C2" s="621"/>
      <c r="D2" s="621"/>
      <c r="E2" s="621"/>
      <c r="F2" s="622"/>
      <c r="G2" s="629" t="s">
        <v>36</v>
      </c>
      <c r="H2" s="630"/>
      <c r="I2" s="630"/>
      <c r="J2" s="630"/>
      <c r="K2" s="630"/>
      <c r="L2" s="630"/>
      <c r="M2" s="630"/>
      <c r="N2" s="630"/>
      <c r="O2" s="631"/>
      <c r="P2" s="638" t="s">
        <v>76</v>
      </c>
      <c r="Q2" s="639"/>
      <c r="R2" s="639"/>
      <c r="S2" s="639"/>
      <c r="T2" s="639"/>
      <c r="U2" s="639"/>
      <c r="V2" s="639"/>
      <c r="W2" s="639"/>
      <c r="X2" s="639"/>
      <c r="Y2" s="640"/>
      <c r="Z2" s="647" t="s">
        <v>172</v>
      </c>
      <c r="AA2" s="648"/>
      <c r="AB2" s="648"/>
      <c r="AC2" s="648"/>
      <c r="AD2" s="648"/>
      <c r="AE2" s="648"/>
      <c r="AF2" s="648"/>
      <c r="AG2" s="648"/>
      <c r="AH2" s="649"/>
      <c r="AK2" s="150"/>
    </row>
    <row r="3" spans="2:37"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c r="AK3" s="150"/>
    </row>
    <row r="4" spans="2:37"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c r="AK4" s="150"/>
    </row>
    <row r="5" spans="2:37"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58" t="s">
        <v>0</v>
      </c>
      <c r="C7" s="558"/>
      <c r="D7" s="558"/>
      <c r="E7" s="656"/>
      <c r="F7" s="612"/>
      <c r="G7" s="613"/>
      <c r="H7" s="613"/>
      <c r="I7" s="613"/>
      <c r="J7" s="613"/>
      <c r="K7" s="613"/>
      <c r="L7" s="613"/>
      <c r="M7" s="613"/>
      <c r="N7" s="613"/>
      <c r="O7" s="613"/>
      <c r="P7" s="614"/>
      <c r="Q7" s="657" t="s">
        <v>80</v>
      </c>
      <c r="R7" s="493"/>
      <c r="S7" s="493"/>
      <c r="T7" s="658"/>
      <c r="U7" s="659"/>
      <c r="V7" s="660"/>
      <c r="W7" s="660"/>
      <c r="X7" s="660"/>
      <c r="Y7" s="660"/>
      <c r="Z7" s="661"/>
      <c r="AA7" s="28"/>
      <c r="AB7" s="28"/>
      <c r="AC7" s="19"/>
      <c r="AD7" s="43" t="s">
        <v>111</v>
      </c>
      <c r="AE7" s="659"/>
      <c r="AF7" s="660"/>
      <c r="AG7" s="660"/>
      <c r="AH7" s="661"/>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558" t="s">
        <v>1</v>
      </c>
      <c r="C9" s="558"/>
      <c r="D9" s="558"/>
      <c r="E9" s="28"/>
      <c r="F9" s="612"/>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4"/>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77</v>
      </c>
      <c r="C12" s="28"/>
      <c r="D12" s="28"/>
      <c r="E12" s="28"/>
      <c r="F12" s="28"/>
      <c r="G12" s="28"/>
      <c r="H12" s="28"/>
      <c r="I12" s="28"/>
      <c r="J12" s="28"/>
      <c r="K12" s="140"/>
      <c r="L12" s="140"/>
      <c r="M12" s="140"/>
      <c r="N12" s="140"/>
      <c r="O12" s="140"/>
      <c r="P12" s="140"/>
      <c r="Q12" s="140"/>
      <c r="R12" s="68"/>
      <c r="S12" s="189" t="str">
        <f>IF(AK12=1,"Fournir justification en annexe","")</f>
        <v/>
      </c>
      <c r="T12" s="28"/>
      <c r="U12" s="28"/>
      <c r="V12" s="28"/>
      <c r="W12" s="28"/>
      <c r="X12" s="28"/>
      <c r="Y12" s="28"/>
      <c r="Z12" s="28"/>
      <c r="AA12" s="28"/>
      <c r="AB12" s="28"/>
      <c r="AC12" s="28"/>
      <c r="AD12" s="78"/>
      <c r="AE12" s="78"/>
      <c r="AF12" s="78"/>
      <c r="AG12" s="78"/>
      <c r="AH12" s="78"/>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3" ht="15.75" customHeight="1" x14ac:dyDescent="0.2">
      <c r="B17" s="28"/>
      <c r="D17" s="28" t="s">
        <v>352</v>
      </c>
      <c r="F17" s="28"/>
      <c r="G17" s="28"/>
      <c r="H17" s="28"/>
      <c r="I17" s="28"/>
      <c r="J17" s="28"/>
      <c r="K17" s="28"/>
      <c r="L17" s="28"/>
      <c r="M17" s="28"/>
      <c r="N17" s="28"/>
      <c r="O17" s="28"/>
      <c r="P17" s="28"/>
      <c r="Q17" s="19" t="s">
        <v>353</v>
      </c>
      <c r="R17" s="346"/>
      <c r="S17" s="346"/>
      <c r="T17" s="346"/>
      <c r="U17" s="346"/>
      <c r="V17" s="346"/>
      <c r="W17" s="346"/>
      <c r="X17" s="346"/>
      <c r="Y17" s="346"/>
      <c r="Z17" s="28"/>
      <c r="AA17" s="28" t="s">
        <v>296</v>
      </c>
      <c r="AB17" s="28"/>
      <c r="AC17" s="28"/>
      <c r="AD17" s="28"/>
      <c r="AE17" s="28"/>
      <c r="AF17" s="28"/>
      <c r="AG17" s="28"/>
      <c r="AH17" s="28"/>
      <c r="AK17" s="208" t="b">
        <v>0</v>
      </c>
      <c r="AL17" s="208" t="b">
        <v>0</v>
      </c>
      <c r="AM17" s="208" t="b">
        <v>0</v>
      </c>
    </row>
    <row r="18" spans="2:43" x14ac:dyDescent="0.2">
      <c r="B18" s="28"/>
      <c r="C18" s="28"/>
      <c r="D18" s="28"/>
      <c r="E18" s="28"/>
      <c r="F18" s="28"/>
      <c r="G18" s="28"/>
      <c r="H18" s="28"/>
      <c r="I18" s="28"/>
      <c r="J18" s="28"/>
      <c r="K18" s="28"/>
      <c r="L18" s="28"/>
      <c r="M18" s="28"/>
      <c r="N18" s="28"/>
      <c r="O18" s="28"/>
      <c r="P18" s="28"/>
      <c r="Q18" s="19" t="s">
        <v>351</v>
      </c>
      <c r="R18" s="346"/>
      <c r="S18" s="346"/>
      <c r="T18" s="346"/>
      <c r="U18" s="346"/>
      <c r="V18" s="346"/>
      <c r="W18" s="346"/>
      <c r="X18" s="346"/>
      <c r="Y18" s="346"/>
      <c r="Z18" s="28"/>
      <c r="AA18" s="28" t="s">
        <v>356</v>
      </c>
      <c r="AB18" s="28"/>
      <c r="AC18" s="28"/>
      <c r="AD18" s="28"/>
      <c r="AE18" s="28"/>
      <c r="AF18" s="28"/>
      <c r="AG18" s="28"/>
      <c r="AH18" s="28"/>
    </row>
    <row r="19" spans="2:43" ht="15.75" customHeight="1" x14ac:dyDescent="0.2">
      <c r="B19" s="28"/>
      <c r="D19" s="77" t="s">
        <v>581</v>
      </c>
      <c r="E19" s="28"/>
      <c r="F19" s="28"/>
      <c r="G19" s="28"/>
      <c r="H19" s="28"/>
      <c r="I19" s="28"/>
      <c r="J19" s="28"/>
      <c r="K19" s="28"/>
      <c r="L19" s="28"/>
      <c r="M19" s="28"/>
      <c r="N19" s="28"/>
      <c r="O19" s="28"/>
      <c r="P19" s="28"/>
      <c r="Q19" s="77"/>
      <c r="R19" s="28"/>
      <c r="S19" s="28"/>
      <c r="T19" s="28"/>
      <c r="U19" s="28"/>
      <c r="V19" s="28"/>
      <c r="W19" s="28"/>
      <c r="X19" s="28"/>
      <c r="Y19" s="27"/>
      <c r="Z19" s="28"/>
      <c r="AA19" s="28" t="s">
        <v>579</v>
      </c>
      <c r="AB19" s="28"/>
      <c r="AC19" s="28"/>
      <c r="AD19" s="28"/>
      <c r="AE19" s="28"/>
      <c r="AF19" s="28"/>
      <c r="AG19" s="28"/>
      <c r="AH19" s="28"/>
      <c r="AK19" s="208" t="b">
        <v>0</v>
      </c>
    </row>
    <row r="20" spans="2:43" ht="17.25" customHeight="1" x14ac:dyDescent="0.2">
      <c r="B20" s="28"/>
      <c r="C20" s="28"/>
      <c r="D20" s="28" t="s">
        <v>580</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2: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3" ht="20.2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2:43" ht="15.75" customHeight="1" x14ac:dyDescent="0.2">
      <c r="B23" s="28"/>
      <c r="C23" s="77" t="s">
        <v>189</v>
      </c>
      <c r="D23" s="28"/>
      <c r="E23" s="28"/>
      <c r="F23" s="609"/>
      <c r="G23" s="609"/>
      <c r="H23" s="28" t="s">
        <v>190</v>
      </c>
      <c r="I23" s="28"/>
      <c r="J23" s="28" t="s">
        <v>191</v>
      </c>
      <c r="K23" s="28"/>
      <c r="L23" s="28"/>
      <c r="M23" s="28"/>
      <c r="N23" s="144"/>
      <c r="O23" s="144" t="str">
        <f>IF(F23&gt;1000,"Montana","Sion")</f>
        <v>Sion</v>
      </c>
      <c r="P23" s="144"/>
      <c r="Q23" s="144"/>
      <c r="R23" s="28"/>
      <c r="S23" s="610" t="str">
        <f>IF((AK22=2),"Fournir EN-VS-133 et justification des besoins en fonction des éléments du projet soumis","")</f>
        <v/>
      </c>
      <c r="T23" s="610"/>
      <c r="U23" s="610"/>
      <c r="V23" s="610"/>
      <c r="W23" s="610"/>
      <c r="X23" s="610"/>
      <c r="Y23" s="610"/>
      <c r="Z23" s="610"/>
      <c r="AA23" s="610"/>
      <c r="AB23" s="610"/>
      <c r="AC23" s="610"/>
      <c r="AD23" s="610"/>
      <c r="AE23" s="610"/>
      <c r="AF23" s="610"/>
      <c r="AG23" s="610"/>
      <c r="AH23" s="610"/>
    </row>
    <row r="24" spans="2:43" ht="14.25" customHeight="1" thickBot="1" x14ac:dyDescent="0.25">
      <c r="B24" s="14"/>
      <c r="C24" s="14"/>
      <c r="D24" s="14"/>
      <c r="E24" s="14"/>
      <c r="F24" s="14"/>
      <c r="G24" s="14"/>
      <c r="H24" s="14"/>
      <c r="I24" s="14"/>
      <c r="J24" s="14"/>
      <c r="K24" s="14"/>
      <c r="L24" s="14"/>
      <c r="M24" s="14"/>
      <c r="N24" s="14"/>
      <c r="O24" s="14"/>
      <c r="P24" s="14"/>
      <c r="Q24" s="14"/>
      <c r="R24" s="14"/>
      <c r="S24" s="611"/>
      <c r="T24" s="611"/>
      <c r="U24" s="611"/>
      <c r="V24" s="611"/>
      <c r="W24" s="611"/>
      <c r="X24" s="611"/>
      <c r="Y24" s="611"/>
      <c r="Z24" s="611"/>
      <c r="AA24" s="611"/>
      <c r="AB24" s="611"/>
      <c r="AC24" s="611"/>
      <c r="AD24" s="611"/>
      <c r="AE24" s="611"/>
      <c r="AF24" s="611"/>
      <c r="AG24" s="611"/>
      <c r="AH24" s="611"/>
    </row>
    <row r="25" spans="2: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3" ht="15.75" customHeight="1" x14ac:dyDescent="0.2">
      <c r="B26" s="34" t="s">
        <v>135</v>
      </c>
      <c r="C26" s="34"/>
      <c r="D26" s="34" t="s">
        <v>288</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233" t="str">
        <f>IF(AND(H29=0,Q29=0),"",IF(AK31=TRUE,"Projet exempté",IF(AP31=1,"Projet soumis",IF(AP30=0,"Projet exempté",IF(AND(AP29=1,AP33=1),"Projet exempté","Projet soumis")))))</f>
        <v/>
      </c>
      <c r="AE26" s="73"/>
      <c r="AF26" s="73"/>
      <c r="AG26" s="73"/>
    </row>
    <row r="27" spans="2:43" ht="15.75" customHeight="1" thickBot="1" x14ac:dyDescent="0.25">
      <c r="B27" s="127" t="s">
        <v>586</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83</v>
      </c>
      <c r="AO27" s="210"/>
      <c r="AP27" s="208" t="str">
        <f>IF(AP31=1,"Projet soumis",IF(AP30=0,"projet exempté",IF(AND(AP29=1,AP33=1),"Projet exempté","Projet soumis")))</f>
        <v>projet exempté</v>
      </c>
    </row>
    <row r="28" spans="2: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2:43" ht="15.75" customHeight="1" x14ac:dyDescent="0.2">
      <c r="B29" s="28"/>
      <c r="C29" s="26"/>
      <c r="D29" s="26"/>
      <c r="E29" s="43"/>
      <c r="F29" s="27"/>
      <c r="G29" s="43" t="s">
        <v>711</v>
      </c>
      <c r="H29" s="607"/>
      <c r="I29" s="607"/>
      <c r="J29" s="607"/>
      <c r="K29" s="144" t="s">
        <v>112</v>
      </c>
      <c r="L29" s="27"/>
      <c r="M29" s="28"/>
      <c r="N29" s="28"/>
      <c r="O29" s="28"/>
      <c r="P29" s="43" t="s">
        <v>37</v>
      </c>
      <c r="Q29" s="607"/>
      <c r="R29" s="607"/>
      <c r="S29" s="607"/>
      <c r="T29" s="482" t="s">
        <v>112</v>
      </c>
      <c r="U29" s="482"/>
      <c r="V29" s="28" t="s">
        <v>38</v>
      </c>
      <c r="W29" s="28"/>
      <c r="X29" s="608" t="str">
        <f>IF(Q29=0,"-", IF(AK29&gt;20,"&gt;20","&lt;20"))</f>
        <v>-</v>
      </c>
      <c r="Y29" s="608"/>
      <c r="Z29" s="27" t="s">
        <v>39</v>
      </c>
      <c r="AA29" s="27"/>
      <c r="AB29" s="43"/>
      <c r="AD29" s="43" t="s">
        <v>707</v>
      </c>
      <c r="AE29" s="438" t="str">
        <f>IF(H29+Q29=0,"",H29+Q29)</f>
        <v/>
      </c>
      <c r="AF29" s="482" t="s">
        <v>112</v>
      </c>
      <c r="AG29" s="482"/>
      <c r="AI29" s="18"/>
      <c r="AJ29" s="259"/>
      <c r="AK29" s="211">
        <f>IF(Q29=0,100,H29/Q29*100)</f>
        <v>100</v>
      </c>
      <c r="AL29" s="208" t="s">
        <v>121</v>
      </c>
      <c r="AP29" s="208">
        <f>IF(H29&lt;1000,1,0)</f>
        <v>1</v>
      </c>
      <c r="AQ29" s="208" t="s">
        <v>116</v>
      </c>
    </row>
    <row r="30" spans="2:43"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2:43" ht="15.75" customHeight="1" x14ac:dyDescent="0.2">
      <c r="B31" s="28"/>
      <c r="C31" s="26"/>
      <c r="D31" s="26"/>
      <c r="E31" s="28" t="s">
        <v>289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2:43" ht="15.75" customHeight="1" x14ac:dyDescent="0.2">
      <c r="B32" s="28"/>
      <c r="C32" s="26"/>
      <c r="D32" s="26"/>
      <c r="E32" s="28" t="s">
        <v>290</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P32" s="208">
        <f>IF(Q29=0,100, H29/Q29*100)</f>
        <v>100</v>
      </c>
      <c r="AQ32" s="208" t="s">
        <v>119</v>
      </c>
    </row>
    <row r="33" spans="2:43" ht="15.75" customHeight="1" x14ac:dyDescent="0.2">
      <c r="B33" s="18"/>
      <c r="C33" s="36"/>
      <c r="D33" s="18"/>
      <c r="E33" s="610" t="str">
        <f>IF(AK31=TRUE,"Fournir le label Minergie et preuves de l'installation solaire existante (photos p.ex.), ou label Minergie A/P/Quartier ou certificat CECB A/A avec documents de calculs","")</f>
        <v/>
      </c>
      <c r="F33" s="610"/>
      <c r="G33" s="610"/>
      <c r="H33" s="610"/>
      <c r="I33" s="610"/>
      <c r="J33" s="610"/>
      <c r="K33" s="610"/>
      <c r="L33" s="610"/>
      <c r="M33" s="610"/>
      <c r="N33" s="297"/>
      <c r="O33" s="297"/>
      <c r="P33" s="297"/>
      <c r="Q33" s="297"/>
      <c r="R33" s="182"/>
      <c r="T33" s="18"/>
      <c r="U33" s="30"/>
      <c r="V33" s="18"/>
      <c r="W33" s="18"/>
      <c r="X33" s="18"/>
      <c r="Y33" s="18"/>
      <c r="Z33" s="18"/>
      <c r="AA33" s="99"/>
      <c r="AB33" s="22" t="s">
        <v>250</v>
      </c>
      <c r="AC33" s="617">
        <f>IF(AK33&gt;30,30,AK33)</f>
        <v>0</v>
      </c>
      <c r="AD33" s="617"/>
      <c r="AE33" s="617"/>
      <c r="AF33" s="496" t="s">
        <v>328</v>
      </c>
      <c r="AG33" s="496"/>
      <c r="AH33" s="74"/>
      <c r="AK33" s="212">
        <f>IF(AC26="Projet exempté",0,20*H29/1000)</f>
        <v>0</v>
      </c>
      <c r="AL33" s="208" t="s">
        <v>82</v>
      </c>
      <c r="AP33" s="208">
        <f>IF(AP32&gt;=20,0,1)</f>
        <v>0</v>
      </c>
      <c r="AQ33" s="208" t="s">
        <v>120</v>
      </c>
    </row>
    <row r="34" spans="2:43" ht="15.75" customHeight="1" x14ac:dyDescent="0.2">
      <c r="B34" s="18"/>
      <c r="C34" s="36"/>
      <c r="D34" s="18"/>
      <c r="E34" s="610"/>
      <c r="F34" s="610"/>
      <c r="G34" s="610"/>
      <c r="H34" s="610"/>
      <c r="I34" s="610"/>
      <c r="J34" s="610"/>
      <c r="K34" s="610"/>
      <c r="L34" s="610"/>
      <c r="M34" s="610"/>
      <c r="N34" s="297"/>
      <c r="O34" s="297"/>
      <c r="P34" s="297"/>
      <c r="Q34" s="297"/>
      <c r="R34" s="183"/>
      <c r="S34" s="28"/>
      <c r="T34" s="18"/>
      <c r="U34" s="30"/>
      <c r="V34" s="18"/>
      <c r="W34" s="18"/>
      <c r="X34" s="18"/>
      <c r="Y34" s="82"/>
      <c r="Z34" s="82"/>
      <c r="AA34" s="129"/>
      <c r="AB34" s="28"/>
      <c r="AC34" s="618"/>
      <c r="AD34" s="618"/>
      <c r="AE34" s="618"/>
      <c r="AF34" s="619"/>
      <c r="AG34" s="619"/>
      <c r="AH34" s="83"/>
      <c r="AK34" s="212"/>
    </row>
    <row r="35" spans="2:43" ht="28.5" customHeight="1" thickBot="1" x14ac:dyDescent="0.25">
      <c r="B35" s="14"/>
      <c r="C35" s="14"/>
      <c r="D35" s="14"/>
      <c r="E35" s="611"/>
      <c r="F35" s="611"/>
      <c r="G35" s="611"/>
      <c r="H35" s="611"/>
      <c r="I35" s="611"/>
      <c r="J35" s="611"/>
      <c r="K35" s="611"/>
      <c r="L35" s="611"/>
      <c r="M35" s="611"/>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3"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3" ht="18" customHeight="1" x14ac:dyDescent="0.2">
      <c r="B37" s="34" t="s">
        <v>137</v>
      </c>
      <c r="C37" s="198"/>
      <c r="D37" s="34" t="s">
        <v>299</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84" t="str">
        <f>IF(OR(AK43=TRUE,AK44=TRUE,AK45=TRUE,AK46=TRUE),"Projet exempté","Projet soumis")</f>
        <v>Projet soumis</v>
      </c>
      <c r="AE37" s="181"/>
      <c r="AF37" s="73"/>
      <c r="AG37" s="73"/>
      <c r="AK37" s="208" t="str">
        <f>IF(AC37="Projet exempté",0,"")</f>
        <v/>
      </c>
    </row>
    <row r="38" spans="2:43" ht="15.75" customHeight="1" thickBot="1" x14ac:dyDescent="0.25">
      <c r="B38" s="130" t="s">
        <v>587</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c r="AD38" s="61"/>
      <c r="AE38" s="61"/>
      <c r="AF38" s="61"/>
      <c r="AG38" s="61"/>
      <c r="AH38" s="61"/>
    </row>
    <row r="39" spans="2:43"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3" ht="17.25" customHeight="1" x14ac:dyDescent="0.2">
      <c r="B40" s="35"/>
      <c r="C40" s="72"/>
      <c r="D40" s="28" t="s">
        <v>37</v>
      </c>
      <c r="E40" s="28"/>
      <c r="F40" s="28"/>
      <c r="G40" s="28"/>
      <c r="H40" s="607"/>
      <c r="I40" s="607"/>
      <c r="J40" s="607"/>
      <c r="K40" s="144" t="s">
        <v>112</v>
      </c>
      <c r="L40" s="72"/>
      <c r="M40" s="564" t="str">
        <f>IF(H40&gt;=500,"Consulter les informations du titre (coin rouge) ","")</f>
        <v/>
      </c>
      <c r="N40" s="564"/>
      <c r="O40" s="564"/>
      <c r="P40" s="564"/>
      <c r="Q40" s="564"/>
      <c r="R40" s="564"/>
      <c r="S40" s="564"/>
      <c r="T40" s="564"/>
      <c r="U40" s="564"/>
      <c r="V40" s="564"/>
      <c r="W40" s="564"/>
      <c r="X40" s="564"/>
      <c r="Y40" s="564"/>
      <c r="Z40" s="564"/>
      <c r="AA40" s="564"/>
      <c r="AB40" s="564"/>
      <c r="AC40" s="564"/>
      <c r="AD40" s="564"/>
      <c r="AE40" s="564"/>
      <c r="AF40" s="564"/>
      <c r="AG40" s="564"/>
      <c r="AH40" s="564"/>
    </row>
    <row r="41" spans="2:43" ht="11.25" customHeight="1" x14ac:dyDescent="0.2">
      <c r="B41" s="35"/>
      <c r="C41" s="72"/>
      <c r="D41" s="72"/>
      <c r="E41" s="72"/>
      <c r="F41" s="72"/>
      <c r="G41" s="72"/>
      <c r="H41" s="72"/>
      <c r="I41" s="72"/>
      <c r="J41" s="72"/>
      <c r="K41" s="72"/>
      <c r="L41" s="72"/>
      <c r="M41" s="564"/>
      <c r="N41" s="564"/>
      <c r="O41" s="564"/>
      <c r="P41" s="564"/>
      <c r="Q41" s="564"/>
      <c r="R41" s="564"/>
      <c r="S41" s="564"/>
      <c r="T41" s="564"/>
      <c r="U41" s="564"/>
      <c r="V41" s="564"/>
      <c r="W41" s="564"/>
      <c r="X41" s="564"/>
      <c r="Y41" s="564"/>
      <c r="Z41" s="564"/>
      <c r="AA41" s="564"/>
      <c r="AB41" s="564"/>
      <c r="AC41" s="564"/>
      <c r="AD41" s="564"/>
      <c r="AE41" s="564"/>
      <c r="AF41" s="564"/>
      <c r="AG41" s="564"/>
      <c r="AH41" s="564"/>
    </row>
    <row r="42" spans="2:43"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3"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K43" s="208" t="b">
        <v>0</v>
      </c>
    </row>
    <row r="44" spans="2:43"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K44" s="208" t="b">
        <v>0</v>
      </c>
    </row>
    <row r="45" spans="2:43"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K45" s="208" t="b">
        <v>0</v>
      </c>
    </row>
    <row r="46" spans="2:43"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K46" s="208" t="b">
        <v>0</v>
      </c>
    </row>
    <row r="47" spans="2:43"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3" ht="15.75" customHeight="1" x14ac:dyDescent="0.2">
      <c r="B48" s="28"/>
      <c r="C48" s="81"/>
      <c r="D48" s="189" t="str">
        <f>IF(OR(AK43=TRUE,AK44=TRUE,AK45=TRUE,AK46=TRUE),"Fournir justification en annexe","")</f>
        <v/>
      </c>
      <c r="E48" s="28"/>
      <c r="F48" s="28"/>
      <c r="G48" s="28"/>
      <c r="H48" s="28"/>
      <c r="I48" s="28"/>
      <c r="J48" s="28"/>
      <c r="K48" s="18"/>
      <c r="L48" s="18"/>
      <c r="M48" s="18"/>
      <c r="N48" s="18"/>
      <c r="O48" s="18"/>
      <c r="P48" s="28"/>
      <c r="Q48" s="18"/>
      <c r="R48" s="182"/>
      <c r="S48" s="30"/>
      <c r="T48" s="18"/>
      <c r="U48" s="30"/>
      <c r="V48" s="18"/>
      <c r="W48" s="18"/>
      <c r="X48" s="18"/>
      <c r="Y48" s="18"/>
      <c r="Z48" s="18"/>
      <c r="AA48" s="18"/>
      <c r="AB48" s="22" t="s">
        <v>250</v>
      </c>
      <c r="AC48" s="617">
        <f>IF(AK37=0,0,IF(AC49&lt;&gt;0,"",IF(AK48&gt;30,30,AK48)))</f>
        <v>0</v>
      </c>
      <c r="AD48" s="617"/>
      <c r="AE48" s="617"/>
      <c r="AF48" s="496" t="s">
        <v>328</v>
      </c>
      <c r="AG48" s="496"/>
      <c r="AH48" s="96"/>
      <c r="AK48" s="212">
        <f>IF(AC37="Projet exempté",0,IF(AC49&lt;&gt;0,AC49,IF((20*H40/1000)&gt;30,30,20*H40/1000)))</f>
        <v>0</v>
      </c>
      <c r="AL48" s="208" t="s">
        <v>82</v>
      </c>
    </row>
    <row r="49" spans="2:37" ht="15.75" customHeight="1" x14ac:dyDescent="0.2">
      <c r="B49" s="28"/>
      <c r="C49" s="36"/>
      <c r="D49" s="321" t="str">
        <f>IF(AC49&lt;&gt;0,"Justifier en annexe selon OcEne art.64 al.2","")</f>
        <v/>
      </c>
      <c r="E49" s="28"/>
      <c r="F49" s="28"/>
      <c r="G49" s="28"/>
      <c r="H49" s="28"/>
      <c r="I49" s="28"/>
      <c r="J49" s="28"/>
      <c r="K49" s="18"/>
      <c r="L49" s="18"/>
      <c r="M49" s="18"/>
      <c r="N49" s="18"/>
      <c r="O49" s="18"/>
      <c r="P49" s="28"/>
      <c r="Q49" s="18"/>
      <c r="R49" s="183"/>
      <c r="S49" s="30"/>
      <c r="T49" s="18"/>
      <c r="U49" s="30"/>
      <c r="V49" s="18"/>
      <c r="W49" s="82"/>
      <c r="X49" s="82"/>
      <c r="Y49" s="82"/>
      <c r="Z49" s="82"/>
      <c r="AA49" s="82"/>
      <c r="AB49" s="22" t="s">
        <v>278</v>
      </c>
      <c r="AC49" s="562"/>
      <c r="AD49" s="562"/>
      <c r="AE49" s="562"/>
      <c r="AF49" s="563" t="s">
        <v>328</v>
      </c>
      <c r="AG49" s="563"/>
      <c r="AH49" s="74"/>
      <c r="AK49" s="212"/>
    </row>
    <row r="50" spans="2:37"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row>
    <row r="51" spans="2:37"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7" ht="18.75" customHeight="1" x14ac:dyDescent="0.2">
      <c r="B52" s="227" t="s">
        <v>174</v>
      </c>
      <c r="C52" s="227"/>
      <c r="D52" s="615" t="s">
        <v>585</v>
      </c>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6"/>
      <c r="AC52" s="316" t="str">
        <f>IF(AND(AK19=TRUE,H56&lt;&gt;0),"Projet soumis","")</f>
        <v/>
      </c>
      <c r="AD52" s="28"/>
      <c r="AE52" s="78"/>
      <c r="AF52" s="78"/>
      <c r="AG52" s="78"/>
      <c r="AH52" s="73"/>
      <c r="AI52" s="77"/>
      <c r="AJ52" s="230"/>
      <c r="AK52" s="264"/>
    </row>
    <row r="53" spans="2:37" ht="18.75" customHeight="1" x14ac:dyDescent="0.2">
      <c r="B53" s="227"/>
      <c r="C53" s="227"/>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6"/>
      <c r="AC53" s="316"/>
      <c r="AE53" s="78"/>
      <c r="AF53" s="78"/>
      <c r="AG53" s="78"/>
      <c r="AH53" s="73"/>
      <c r="AI53" s="77"/>
      <c r="AJ53" s="230"/>
    </row>
    <row r="54" spans="2:37" ht="15.75" customHeight="1" thickBot="1" x14ac:dyDescent="0.25">
      <c r="B54" s="135" t="s">
        <v>584</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180"/>
      <c r="AC54" s="316"/>
      <c r="AD54" s="77"/>
      <c r="AE54" s="77"/>
      <c r="AF54" s="77"/>
      <c r="AG54" s="77"/>
      <c r="AH54" s="77"/>
      <c r="AI54" s="77"/>
      <c r="AJ54" s="230"/>
    </row>
    <row r="55" spans="2:37" ht="8.1" customHeight="1" x14ac:dyDescent="0.2">
      <c r="B55" s="8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230"/>
    </row>
    <row r="56" spans="2:37" ht="15.75" customHeight="1" x14ac:dyDescent="0.2">
      <c r="B56" s="86"/>
      <c r="C56" s="77"/>
      <c r="D56" s="77" t="s">
        <v>37</v>
      </c>
      <c r="E56" s="77"/>
      <c r="F56" s="77"/>
      <c r="G56" s="77"/>
      <c r="H56" s="662"/>
      <c r="I56" s="662"/>
      <c r="J56" s="662"/>
      <c r="K56" s="145" t="s">
        <v>113</v>
      </c>
      <c r="L56" s="77"/>
      <c r="M56" s="77"/>
      <c r="N56" s="77"/>
      <c r="O56" s="77"/>
      <c r="P56" s="28"/>
      <c r="Q56" s="28"/>
      <c r="R56" s="28"/>
      <c r="S56" s="28"/>
      <c r="T56" s="28"/>
      <c r="U56" s="28"/>
      <c r="V56" s="28"/>
      <c r="W56" s="28"/>
      <c r="X56" s="28"/>
      <c r="Y56" s="77"/>
      <c r="Z56" s="77"/>
      <c r="AA56" s="77"/>
      <c r="AB56" s="77"/>
      <c r="AC56" s="184"/>
      <c r="AD56" s="77"/>
      <c r="AE56" s="77"/>
      <c r="AF56" s="77"/>
      <c r="AG56" s="77"/>
      <c r="AH56" s="77"/>
      <c r="AI56" s="77"/>
      <c r="AJ56" s="230"/>
    </row>
    <row r="57" spans="2:37" ht="8.1" customHeight="1" x14ac:dyDescent="0.2">
      <c r="B57" s="86"/>
      <c r="C57" s="77"/>
      <c r="D57" s="77"/>
      <c r="E57" s="77"/>
      <c r="F57" s="77"/>
      <c r="G57" s="77"/>
      <c r="H57" s="77"/>
      <c r="I57" s="77"/>
      <c r="J57" s="77"/>
      <c r="K57" s="77"/>
      <c r="L57" s="77"/>
      <c r="M57" s="77"/>
      <c r="N57" s="77"/>
      <c r="O57" s="77"/>
      <c r="P57" s="77"/>
      <c r="Q57" s="77"/>
      <c r="R57" s="77"/>
      <c r="S57" s="77"/>
      <c r="T57" s="142"/>
      <c r="U57" s="142"/>
      <c r="V57" s="142"/>
      <c r="W57" s="87"/>
      <c r="X57" s="77"/>
      <c r="Y57" s="77"/>
      <c r="Z57" s="77"/>
      <c r="AA57" s="77"/>
      <c r="AB57" s="77"/>
      <c r="AC57" s="77"/>
      <c r="AD57" s="77"/>
      <c r="AE57" s="77"/>
      <c r="AF57" s="77"/>
      <c r="AG57" s="77"/>
      <c r="AH57" s="77"/>
      <c r="AI57" s="77"/>
      <c r="AJ57" s="230"/>
    </row>
    <row r="58" spans="2:37" ht="15.75" customHeight="1" x14ac:dyDescent="0.2">
      <c r="B58" s="77"/>
      <c r="C58" s="77"/>
      <c r="D58" s="77"/>
      <c r="E58" s="105" t="s">
        <v>588</v>
      </c>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230"/>
      <c r="AK58" s="208" t="b">
        <v>0</v>
      </c>
    </row>
    <row r="59" spans="2:37" ht="7.5" customHeight="1" x14ac:dyDescent="0.2">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row>
    <row r="60" spans="2:37" ht="15.75" customHeight="1" x14ac:dyDescent="0.2">
      <c r="B60" s="77"/>
      <c r="C60" s="77"/>
      <c r="D60" s="77"/>
      <c r="E60" s="77"/>
      <c r="F60" s="77"/>
      <c r="G60" s="77"/>
      <c r="H60" s="77"/>
      <c r="I60" s="77"/>
      <c r="J60" s="77"/>
      <c r="K60" s="77"/>
      <c r="L60" s="77"/>
      <c r="M60" s="77"/>
      <c r="N60" s="77"/>
      <c r="O60" s="77"/>
      <c r="P60" s="77"/>
      <c r="Q60" s="77"/>
      <c r="R60" s="183" t="s">
        <v>51</v>
      </c>
      <c r="S60" s="77"/>
      <c r="T60" s="77"/>
      <c r="U60" s="77"/>
      <c r="V60" s="77"/>
      <c r="W60" s="77"/>
      <c r="X60" s="77"/>
      <c r="Y60" s="77"/>
      <c r="Z60" s="77"/>
      <c r="AA60" s="77"/>
      <c r="AB60" s="28"/>
      <c r="AC60" s="663">
        <f>IF(AK58,H56*5/1000,0)</f>
        <v>0</v>
      </c>
      <c r="AD60" s="663"/>
      <c r="AE60" s="663"/>
      <c r="AF60" s="665" t="s">
        <v>82</v>
      </c>
      <c r="AG60" s="665"/>
      <c r="AH60" s="77"/>
      <c r="AI60" s="77"/>
      <c r="AJ60" s="230"/>
    </row>
    <row r="61" spans="2:37"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28"/>
      <c r="AC61" s="618"/>
      <c r="AD61" s="618"/>
      <c r="AE61" s="618"/>
      <c r="AF61" s="619"/>
      <c r="AG61" s="619"/>
      <c r="AH61" s="77"/>
      <c r="AI61" s="77"/>
      <c r="AJ61" s="230"/>
    </row>
    <row r="62" spans="2:37" ht="8.1" customHeight="1" x14ac:dyDescent="0.2">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230"/>
    </row>
    <row r="63" spans="2:37" ht="15.75" customHeight="1" x14ac:dyDescent="0.2">
      <c r="B63" s="77"/>
      <c r="C63" s="77"/>
      <c r="D63" s="77"/>
      <c r="E63" s="77" t="s">
        <v>589</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c r="AK63" s="208" t="b">
        <v>0</v>
      </c>
    </row>
    <row r="64" spans="2:37" x14ac:dyDescent="0.2">
      <c r="B64" s="77"/>
      <c r="C64" s="77"/>
      <c r="D64" s="77"/>
      <c r="E64" s="23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row>
    <row r="65" spans="2:41" ht="15.75" customHeight="1" x14ac:dyDescent="0.2">
      <c r="B65" s="77"/>
      <c r="C65" s="77"/>
      <c r="D65" s="77"/>
      <c r="E65" s="77"/>
      <c r="F65" s="77"/>
      <c r="G65" s="77"/>
      <c r="H65" s="77"/>
      <c r="I65" s="77"/>
      <c r="J65" s="77"/>
      <c r="K65" s="77"/>
      <c r="L65" s="77"/>
      <c r="M65" s="77"/>
      <c r="N65" s="77"/>
      <c r="O65" s="77"/>
      <c r="P65" s="183" t="s">
        <v>85</v>
      </c>
      <c r="Q65" s="77"/>
      <c r="S65" s="77"/>
      <c r="T65" s="77"/>
      <c r="U65" s="77"/>
      <c r="V65" s="77"/>
      <c r="W65" s="77"/>
      <c r="X65" s="77"/>
      <c r="Y65" s="77"/>
      <c r="Z65" s="77"/>
      <c r="AA65" s="77"/>
      <c r="AC65" s="666"/>
      <c r="AD65" s="666"/>
      <c r="AE65" s="666"/>
      <c r="AF65" s="667" t="s">
        <v>45</v>
      </c>
      <c r="AG65" s="667"/>
      <c r="AH65" s="77"/>
      <c r="AI65" s="77"/>
      <c r="AJ65" s="230"/>
      <c r="AK65" s="213">
        <f>ROUNDDOWN(AC61+AC65,1)</f>
        <v>0</v>
      </c>
      <c r="AL65" s="208" t="s">
        <v>45</v>
      </c>
      <c r="AM65" s="208" t="s">
        <v>91</v>
      </c>
    </row>
    <row r="66" spans="2:41" ht="15.75" customHeight="1" x14ac:dyDescent="0.2">
      <c r="B66" s="77"/>
      <c r="C66" s="189" t="str">
        <f>IF(OR(AK63=TRUE,AK65&lt;&gt;0),"Fournir justification des besoins selon OcEne art.63 al.2 let.b","")</f>
        <v/>
      </c>
      <c r="D66" s="28"/>
      <c r="E66" s="77"/>
      <c r="F66" s="28"/>
      <c r="G66" s="77"/>
      <c r="H66" s="77"/>
      <c r="I66" s="28"/>
      <c r="J66" s="77"/>
      <c r="K66" s="77"/>
      <c r="L66" s="28"/>
      <c r="M66" s="77"/>
      <c r="N66" s="28"/>
      <c r="O66" s="77"/>
      <c r="P66" s="251"/>
      <c r="Q66" s="77"/>
      <c r="R66" s="77"/>
      <c r="S66" s="77"/>
      <c r="T66" s="77"/>
      <c r="U66" s="77"/>
      <c r="V66" s="77"/>
      <c r="W66" s="77"/>
      <c r="X66" s="77"/>
      <c r="Y66" s="77"/>
      <c r="Z66" s="77"/>
      <c r="AA66" s="77"/>
      <c r="AB66" s="89"/>
      <c r="AC66" s="175"/>
      <c r="AD66" s="175"/>
      <c r="AE66" s="175"/>
      <c r="AF66" s="176"/>
      <c r="AG66" s="28"/>
      <c r="AH66" s="77"/>
      <c r="AI66" s="77"/>
      <c r="AJ66" s="230"/>
      <c r="AK66" s="213"/>
    </row>
    <row r="67" spans="2:41" ht="15.75" customHeight="1" x14ac:dyDescent="0.2">
      <c r="B67" s="77"/>
      <c r="C67" s="189" t="str">
        <f>IF(OR(AK63=TRUE,AK65&lt;&gt;0),"Fournir calcul de l'énergie spécifique produite sur site (Calculateur Suisse Energie ou autre) et remplir la production spécifique sousBloc n°④","")</f>
        <v/>
      </c>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41" ht="8.1" customHeight="1" thickBot="1" x14ac:dyDescent="0.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4"/>
      <c r="AC68" s="88"/>
      <c r="AD68" s="88"/>
      <c r="AE68" s="88"/>
      <c r="AF68" s="88"/>
      <c r="AG68" s="88"/>
      <c r="AH68" s="88"/>
      <c r="AI68" s="77"/>
      <c r="AJ68" s="230"/>
    </row>
    <row r="69" spans="2:41" ht="8.1" customHeight="1" x14ac:dyDescent="0.2">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78"/>
      <c r="AB69" s="126"/>
      <c r="AC69" s="28"/>
      <c r="AD69" s="28"/>
      <c r="AE69" s="28"/>
      <c r="AF69" s="28"/>
      <c r="AG69" s="28"/>
      <c r="AH69" s="28"/>
    </row>
    <row r="70" spans="2:41" ht="15.75" x14ac:dyDescent="0.2">
      <c r="B70" s="34" t="s">
        <v>140</v>
      </c>
      <c r="C70" s="34"/>
      <c r="D70" s="615" t="s">
        <v>300</v>
      </c>
      <c r="E70" s="615"/>
      <c r="F70" s="615"/>
      <c r="G70" s="615"/>
      <c r="H70" s="615"/>
      <c r="I70" s="615"/>
      <c r="J70" s="615"/>
      <c r="K70" s="615"/>
      <c r="L70" s="615"/>
      <c r="M70" s="615"/>
      <c r="N70" s="615"/>
      <c r="O70" s="615"/>
      <c r="P70" s="615"/>
      <c r="Q70" s="615"/>
      <c r="R70" s="615"/>
      <c r="S70" s="615"/>
      <c r="T70" s="615"/>
      <c r="U70" s="615"/>
      <c r="V70" s="615"/>
      <c r="W70" s="615"/>
      <c r="X70" s="615"/>
      <c r="Y70" s="615"/>
      <c r="Z70" s="615"/>
      <c r="AA70" s="616"/>
      <c r="AB70" s="34"/>
      <c r="AC70" s="674" t="str">
        <f>IF(AK74=1,"Non-soumis à EN-VS-104, mais soumis à indice Ehwlk",IF(OR(AK74=2,AK74=6),"Projet soumis",IF(OR(AK74=3,AK74=5),"Projet exempté",IF(AK74=4,"Projet soumis en complément aux solutions standards",""))))</f>
        <v>Projet soumis</v>
      </c>
      <c r="AD70" s="674"/>
      <c r="AE70" s="674"/>
      <c r="AF70" s="674"/>
      <c r="AG70" s="674"/>
      <c r="AH70" s="674"/>
      <c r="AI70" s="674"/>
    </row>
    <row r="71" spans="2:41" ht="15.75" customHeight="1" x14ac:dyDescent="0.2">
      <c r="B71" s="34"/>
      <c r="C71" s="34"/>
      <c r="D71" s="615"/>
      <c r="E71" s="615"/>
      <c r="F71" s="615"/>
      <c r="G71" s="615"/>
      <c r="H71" s="615"/>
      <c r="I71" s="615"/>
      <c r="J71" s="615"/>
      <c r="K71" s="615"/>
      <c r="L71" s="615"/>
      <c r="M71" s="615"/>
      <c r="N71" s="615"/>
      <c r="O71" s="615"/>
      <c r="P71" s="615"/>
      <c r="Q71" s="615"/>
      <c r="R71" s="615"/>
      <c r="S71" s="615"/>
      <c r="T71" s="615"/>
      <c r="U71" s="615"/>
      <c r="V71" s="615"/>
      <c r="W71" s="615"/>
      <c r="X71" s="615"/>
      <c r="Y71" s="615"/>
      <c r="Z71" s="615"/>
      <c r="AA71" s="616"/>
      <c r="AB71" s="34"/>
      <c r="AC71" s="674"/>
      <c r="AD71" s="674"/>
      <c r="AE71" s="674"/>
      <c r="AF71" s="674"/>
      <c r="AG71" s="674"/>
      <c r="AH71" s="674"/>
      <c r="AI71" s="674"/>
    </row>
    <row r="72" spans="2:41" ht="13.5" customHeight="1" thickBot="1" x14ac:dyDescent="0.25">
      <c r="B72" s="135" t="s">
        <v>590</v>
      </c>
      <c r="C72" s="88"/>
      <c r="D72" s="88"/>
      <c r="E72" s="88"/>
      <c r="F72" s="88"/>
      <c r="G72" s="88"/>
      <c r="H72" s="88"/>
      <c r="I72" s="88"/>
      <c r="J72" s="88"/>
      <c r="K72" s="88"/>
      <c r="L72" s="88"/>
      <c r="M72" s="88"/>
      <c r="N72" s="88"/>
      <c r="O72" s="88"/>
      <c r="P72" s="88"/>
      <c r="Q72" s="88"/>
      <c r="R72" s="88"/>
      <c r="S72" s="88"/>
      <c r="T72" s="88"/>
      <c r="U72" s="88"/>
      <c r="V72" s="88"/>
      <c r="W72" s="88"/>
      <c r="X72" s="88"/>
      <c r="Y72" s="88"/>
      <c r="Z72" s="88"/>
      <c r="AA72" s="287"/>
      <c r="AC72" s="674"/>
      <c r="AD72" s="674"/>
      <c r="AE72" s="674"/>
      <c r="AF72" s="674"/>
      <c r="AG72" s="674"/>
      <c r="AH72" s="674"/>
      <c r="AI72" s="674"/>
    </row>
    <row r="73" spans="2:41" ht="15.75" customHeight="1" x14ac:dyDescent="0.2">
      <c r="B73" s="8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674"/>
      <c r="AD73" s="674"/>
      <c r="AE73" s="674"/>
      <c r="AF73" s="674"/>
      <c r="AG73" s="674"/>
      <c r="AH73" s="674"/>
      <c r="AI73" s="674"/>
      <c r="AJ73" s="230"/>
    </row>
    <row r="74" spans="2:41" ht="15.75" x14ac:dyDescent="0.2">
      <c r="B74" s="91"/>
      <c r="C74" s="91"/>
      <c r="D74" s="90" t="s">
        <v>128</v>
      </c>
      <c r="E74" s="90"/>
      <c r="F74" s="90"/>
      <c r="G74" s="90"/>
      <c r="H74" s="90"/>
      <c r="I74" s="90"/>
      <c r="J74" s="90"/>
      <c r="K74" s="90"/>
      <c r="L74" s="90"/>
      <c r="M74" s="90"/>
      <c r="N74" s="90"/>
      <c r="O74" s="90"/>
      <c r="P74" s="90"/>
      <c r="Q74" s="90"/>
      <c r="R74" s="90"/>
      <c r="S74" s="90"/>
      <c r="T74" s="90"/>
      <c r="U74" s="90"/>
      <c r="V74" s="90"/>
      <c r="W74" s="90"/>
      <c r="X74" s="90"/>
      <c r="Y74" s="189" t="str">
        <f>IF(AK74=1,"Fournir EN-VS-101b, respect indice global requis","")</f>
        <v/>
      </c>
      <c r="AA74" s="17"/>
      <c r="AB74" s="17"/>
      <c r="AC74" s="28"/>
      <c r="AD74" s="17"/>
      <c r="AE74" s="17"/>
      <c r="AF74" s="17"/>
      <c r="AG74" s="17"/>
      <c r="AH74" s="16"/>
      <c r="AK74" s="208">
        <v>6</v>
      </c>
      <c r="AL74" s="208" t="s">
        <v>236</v>
      </c>
    </row>
    <row r="75" spans="2:41" ht="18.75" customHeight="1" x14ac:dyDescent="0.2">
      <c r="B75" s="91"/>
      <c r="C75" s="91"/>
      <c r="D75" s="28" t="s">
        <v>380</v>
      </c>
      <c r="E75" s="197"/>
      <c r="F75" s="197"/>
      <c r="G75" s="197"/>
      <c r="H75" s="197"/>
      <c r="I75" s="197"/>
      <c r="J75" s="197"/>
      <c r="K75" s="197"/>
      <c r="L75" s="197"/>
      <c r="M75" s="197"/>
      <c r="N75" s="197"/>
      <c r="O75" s="197"/>
      <c r="P75" s="197"/>
      <c r="Q75" s="197"/>
      <c r="R75" s="17"/>
      <c r="S75" s="46"/>
      <c r="T75" s="17"/>
      <c r="U75" s="17"/>
      <c r="V75" s="17"/>
      <c r="W75" s="17"/>
      <c r="X75" s="17"/>
      <c r="Y75" s="17"/>
      <c r="Z75" s="28"/>
      <c r="AA75" s="17"/>
      <c r="AB75" s="564" t="str">
        <f>IF(AK74=4,"Fournir EN-VS-101a + compensation ici","")</f>
        <v/>
      </c>
      <c r="AC75" s="564"/>
      <c r="AD75" s="564"/>
      <c r="AE75" s="564"/>
      <c r="AF75" s="564"/>
      <c r="AG75" s="564"/>
      <c r="AH75" s="17"/>
    </row>
    <row r="76" spans="2:41" ht="18.75" customHeight="1" x14ac:dyDescent="0.2">
      <c r="B76" s="91"/>
      <c r="C76" s="91"/>
      <c r="D76" s="28" t="s">
        <v>126</v>
      </c>
      <c r="E76" s="197"/>
      <c r="F76" s="197"/>
      <c r="G76" s="197"/>
      <c r="H76" s="197"/>
      <c r="I76" s="197"/>
      <c r="J76" s="197"/>
      <c r="K76" s="197"/>
      <c r="L76" s="197"/>
      <c r="M76" s="197"/>
      <c r="N76" s="197"/>
      <c r="O76" s="197"/>
      <c r="P76" s="197"/>
      <c r="Q76" s="197"/>
      <c r="R76" s="188"/>
      <c r="S76" s="188"/>
      <c r="T76" s="188"/>
      <c r="U76" s="188"/>
      <c r="V76" s="188"/>
      <c r="W76" s="188"/>
      <c r="X76" s="188"/>
      <c r="Y76" s="188"/>
      <c r="Z76" s="272"/>
      <c r="AA76" s="272"/>
      <c r="AB76" s="564"/>
      <c r="AC76" s="564"/>
      <c r="AD76" s="564"/>
      <c r="AE76" s="564"/>
      <c r="AF76" s="564"/>
      <c r="AG76" s="564"/>
      <c r="AH76" s="272"/>
      <c r="AL76" s="208" t="s">
        <v>237</v>
      </c>
    </row>
    <row r="77" spans="2:41" ht="18.75" customHeight="1" x14ac:dyDescent="0.2">
      <c r="B77" s="91"/>
      <c r="C77" s="91"/>
      <c r="D77" s="77" t="s">
        <v>173</v>
      </c>
      <c r="E77" s="197"/>
      <c r="F77" s="197"/>
      <c r="G77" s="197"/>
      <c r="H77" s="197"/>
      <c r="I77" s="197"/>
      <c r="J77" s="197"/>
      <c r="K77" s="197"/>
      <c r="L77" s="197"/>
      <c r="M77" s="197"/>
      <c r="N77" s="197"/>
      <c r="O77" s="197"/>
      <c r="P77" s="197"/>
      <c r="Q77" s="197"/>
      <c r="R77" s="17"/>
      <c r="S77" s="46"/>
      <c r="T77" s="17"/>
      <c r="U77" s="17"/>
      <c r="V77" s="17"/>
      <c r="W77" s="17"/>
      <c r="X77" s="17"/>
      <c r="Y77" s="17"/>
      <c r="Z77" s="272"/>
      <c r="AA77" s="272"/>
      <c r="AB77" s="272"/>
      <c r="AC77" s="272"/>
      <c r="AD77" s="272"/>
      <c r="AE77" s="272"/>
      <c r="AF77" s="272"/>
      <c r="AG77" s="272"/>
      <c r="AH77" s="272"/>
      <c r="AL77" s="208" t="s">
        <v>238</v>
      </c>
    </row>
    <row r="78" spans="2:41" ht="18.75" customHeight="1" x14ac:dyDescent="0.2">
      <c r="B78" s="91"/>
      <c r="C78" s="91"/>
      <c r="D78" s="28" t="s">
        <v>169</v>
      </c>
      <c r="E78" s="28"/>
      <c r="F78" s="28"/>
      <c r="G78" s="28"/>
      <c r="H78" s="28"/>
      <c r="I78" s="28"/>
      <c r="J78" s="28"/>
      <c r="K78" s="28"/>
      <c r="L78" s="28"/>
      <c r="M78" s="28"/>
      <c r="N78" s="28"/>
      <c r="O78" s="28"/>
      <c r="P78" s="28"/>
      <c r="Q78" s="28"/>
      <c r="R78" s="17"/>
      <c r="S78" s="17"/>
      <c r="T78" s="17"/>
      <c r="U78" s="17"/>
      <c r="V78" s="17"/>
      <c r="W78" s="189" t="str">
        <f>IF(AK74=5,"Fournir certificat provisoire correspondant","")</f>
        <v/>
      </c>
      <c r="X78" s="17"/>
      <c r="Y78" s="17"/>
      <c r="Z78" s="17"/>
      <c r="AA78" s="17"/>
      <c r="AB78" s="17"/>
      <c r="AC78" s="17"/>
      <c r="AD78" s="17"/>
      <c r="AE78" s="17"/>
      <c r="AF78" s="17"/>
      <c r="AG78" s="17"/>
      <c r="AH78" s="17"/>
      <c r="AL78" s="208" t="s">
        <v>239</v>
      </c>
    </row>
    <row r="79" spans="2:41" ht="18.75" customHeight="1" x14ac:dyDescent="0.2">
      <c r="B79" s="91"/>
      <c r="C79" s="91"/>
      <c r="D79" s="320" t="s">
        <v>258</v>
      </c>
      <c r="E79" s="28"/>
      <c r="F79" s="28"/>
      <c r="G79" s="28"/>
      <c r="H79" s="28"/>
      <c r="I79" s="28"/>
      <c r="J79" s="28"/>
      <c r="K79" s="28"/>
      <c r="L79" s="28"/>
      <c r="M79" s="28"/>
      <c r="N79" s="28"/>
      <c r="O79" s="28"/>
      <c r="P79" s="28"/>
      <c r="Q79" s="28"/>
      <c r="R79" s="17"/>
      <c r="S79" s="17"/>
      <c r="T79" s="17"/>
      <c r="U79" s="17"/>
      <c r="V79" s="17"/>
      <c r="W79" s="189"/>
      <c r="X79" s="17"/>
      <c r="Y79" s="17"/>
      <c r="Z79" s="17"/>
      <c r="AA79" s="17"/>
      <c r="AB79" s="17"/>
      <c r="AC79" s="17"/>
      <c r="AD79" s="17"/>
      <c r="AE79" s="17"/>
      <c r="AF79" s="17"/>
      <c r="AG79" s="17"/>
      <c r="AH79" s="17"/>
      <c r="AL79" s="208" t="s">
        <v>240</v>
      </c>
    </row>
    <row r="80" spans="2:41" ht="18.75" customHeight="1" x14ac:dyDescent="0.2">
      <c r="B80" s="671" t="s">
        <v>610</v>
      </c>
      <c r="C80" s="671"/>
      <c r="D80" s="671"/>
      <c r="E80" s="671"/>
      <c r="F80" s="671"/>
      <c r="G80" s="671"/>
      <c r="H80" s="671"/>
      <c r="I80" s="671"/>
      <c r="J80" s="671"/>
      <c r="K80" s="671"/>
      <c r="L80" s="671"/>
      <c r="M80" s="671"/>
      <c r="N80" s="671"/>
      <c r="O80" s="671"/>
      <c r="P80" s="671"/>
      <c r="Q80" s="671"/>
      <c r="R80" s="671"/>
      <c r="S80" s="671"/>
      <c r="T80" s="671"/>
      <c r="U80" s="671"/>
      <c r="V80" s="671"/>
      <c r="W80" s="671"/>
      <c r="X80" s="671"/>
      <c r="Y80" s="671"/>
      <c r="Z80" s="671"/>
      <c r="AA80" s="671"/>
      <c r="AB80" s="671"/>
      <c r="AC80" s="671"/>
      <c r="AD80" s="671"/>
      <c r="AE80" s="671"/>
      <c r="AF80" s="671"/>
      <c r="AG80" s="671"/>
      <c r="AH80" s="17"/>
      <c r="AL80" s="208" t="s">
        <v>301</v>
      </c>
      <c r="AO80" s="208" t="s">
        <v>261</v>
      </c>
    </row>
    <row r="81" spans="1:59" ht="15.75" customHeight="1" x14ac:dyDescent="0.2">
      <c r="B81" s="671"/>
      <c r="C81" s="671"/>
      <c r="D81" s="671"/>
      <c r="E81" s="671"/>
      <c r="F81" s="671"/>
      <c r="G81" s="671"/>
      <c r="H81" s="671"/>
      <c r="I81" s="671"/>
      <c r="J81" s="671"/>
      <c r="K81" s="671"/>
      <c r="L81" s="671"/>
      <c r="M81" s="671"/>
      <c r="N81" s="671"/>
      <c r="O81" s="671"/>
      <c r="P81" s="671"/>
      <c r="Q81" s="671"/>
      <c r="R81" s="671"/>
      <c r="S81" s="671"/>
      <c r="T81" s="671"/>
      <c r="U81" s="671"/>
      <c r="V81" s="671"/>
      <c r="W81" s="671"/>
      <c r="X81" s="671"/>
      <c r="Y81" s="671"/>
      <c r="Z81" s="671"/>
      <c r="AA81" s="671"/>
      <c r="AB81" s="671"/>
      <c r="AC81" s="671"/>
      <c r="AD81" s="671"/>
      <c r="AE81" s="671"/>
      <c r="AF81" s="671"/>
      <c r="AG81" s="671"/>
      <c r="AH81" s="17"/>
      <c r="AO81" s="208" t="s">
        <v>275</v>
      </c>
    </row>
    <row r="82" spans="1:59" ht="22.5" customHeight="1" x14ac:dyDescent="0.2">
      <c r="A82" s="380"/>
      <c r="B82" s="98" t="s">
        <v>234</v>
      </c>
      <c r="C82" s="28"/>
      <c r="D82" s="28"/>
      <c r="E82" s="28"/>
      <c r="F82" s="28"/>
      <c r="G82" s="28"/>
      <c r="H82" s="28"/>
      <c r="I82" s="28"/>
      <c r="J82" s="28"/>
      <c r="K82" s="28"/>
      <c r="L82" s="28"/>
      <c r="M82" s="119"/>
      <c r="N82" s="28"/>
      <c r="O82" s="120"/>
      <c r="P82" s="120"/>
      <c r="Q82" s="28"/>
      <c r="R82" s="28"/>
      <c r="S82" s="98" t="s">
        <v>235</v>
      </c>
      <c r="T82" s="17"/>
      <c r="U82" s="17"/>
      <c r="V82" s="17"/>
      <c r="W82" s="17"/>
      <c r="X82" s="17"/>
      <c r="Y82" s="17"/>
      <c r="Z82" s="17"/>
      <c r="AA82" s="17"/>
      <c r="AB82" s="17"/>
      <c r="AC82" s="17"/>
      <c r="AD82" s="17"/>
      <c r="AE82" s="17"/>
      <c r="AF82" s="17"/>
      <c r="AG82" s="17"/>
      <c r="AH82" s="28"/>
      <c r="AO82" s="208" t="s">
        <v>276</v>
      </c>
    </row>
    <row r="83" spans="1:59" ht="15.75" customHeight="1" x14ac:dyDescent="0.2">
      <c r="B83" s="28" t="s">
        <v>61</v>
      </c>
      <c r="C83" s="28"/>
      <c r="D83" s="28"/>
      <c r="E83" s="28"/>
      <c r="F83" s="28"/>
      <c r="G83" s="28"/>
      <c r="H83" s="28"/>
      <c r="I83" s="28"/>
      <c r="J83" s="28"/>
      <c r="K83" s="28"/>
      <c r="L83" s="28"/>
      <c r="M83" s="28"/>
      <c r="N83" s="605"/>
      <c r="O83" s="605"/>
      <c r="P83" s="605"/>
      <c r="Q83" s="337" t="s">
        <v>328</v>
      </c>
      <c r="R83" s="182"/>
      <c r="S83" s="28" t="s">
        <v>61</v>
      </c>
      <c r="T83" s="28"/>
      <c r="U83" s="28"/>
      <c r="V83" s="28"/>
      <c r="W83" s="28"/>
      <c r="X83" s="28"/>
      <c r="Y83" s="28"/>
      <c r="Z83" s="28"/>
      <c r="AA83" s="28"/>
      <c r="AB83" s="28"/>
      <c r="AC83" s="251"/>
      <c r="AD83" s="251"/>
      <c r="AE83" s="672"/>
      <c r="AF83" s="672"/>
      <c r="AG83" s="337" t="s">
        <v>328</v>
      </c>
      <c r="AH83" s="28"/>
      <c r="AO83" s="208" t="s">
        <v>277</v>
      </c>
    </row>
    <row r="84" spans="1:59" ht="15.75" customHeight="1" x14ac:dyDescent="0.2">
      <c r="B84" s="282"/>
      <c r="C84" s="114"/>
      <c r="D84" s="114"/>
      <c r="E84" s="114"/>
      <c r="F84" s="114"/>
      <c r="G84" s="114"/>
      <c r="H84" s="114"/>
      <c r="I84" s="114"/>
      <c r="J84" s="114"/>
      <c r="K84" s="114"/>
      <c r="L84" s="274"/>
      <c r="M84" s="274"/>
      <c r="N84" s="115"/>
      <c r="O84" s="115"/>
      <c r="Q84" s="99"/>
      <c r="R84" s="182"/>
      <c r="S84" s="282"/>
      <c r="T84" s="114"/>
      <c r="U84" s="114"/>
      <c r="V84" s="114"/>
      <c r="W84" s="114"/>
      <c r="X84" s="114"/>
      <c r="Y84" s="114"/>
      <c r="Z84" s="114"/>
      <c r="AA84" s="114"/>
      <c r="AB84" s="114"/>
      <c r="AC84" s="274"/>
      <c r="AD84" s="274"/>
      <c r="AE84" s="315"/>
      <c r="AF84" s="315"/>
      <c r="AG84" s="338"/>
      <c r="AH84" s="28"/>
    </row>
    <row r="85" spans="1:59" ht="15.75" customHeight="1" x14ac:dyDescent="0.2">
      <c r="B85" s="35" t="s">
        <v>232</v>
      </c>
      <c r="C85" s="114"/>
      <c r="D85" s="114"/>
      <c r="E85" s="114"/>
      <c r="F85" s="114"/>
      <c r="G85" s="114"/>
      <c r="H85" s="114"/>
      <c r="I85" s="114"/>
      <c r="J85" s="114"/>
      <c r="K85" s="114"/>
      <c r="L85" s="274"/>
      <c r="M85" s="274"/>
      <c r="N85" s="602">
        <f>IF(N83*1000=0,0,N83*1000)</f>
        <v>0</v>
      </c>
      <c r="O85" s="602"/>
      <c r="P85" s="602"/>
      <c r="Q85" s="337" t="s">
        <v>45</v>
      </c>
      <c r="R85" s="182"/>
      <c r="S85" s="35" t="s">
        <v>232</v>
      </c>
      <c r="T85" s="114"/>
      <c r="U85" s="114"/>
      <c r="V85" s="114"/>
      <c r="W85" s="114"/>
      <c r="X85" s="114"/>
      <c r="Y85" s="114"/>
      <c r="Z85" s="114"/>
      <c r="AA85" s="114"/>
      <c r="AB85" s="114"/>
      <c r="AC85" s="274"/>
      <c r="AD85" s="274"/>
      <c r="AE85" s="668">
        <f>IF(AE83*1000=0,0,AE83*1000)</f>
        <v>0</v>
      </c>
      <c r="AF85" s="668"/>
      <c r="AG85" s="337" t="s">
        <v>45</v>
      </c>
      <c r="AH85" s="26"/>
    </row>
    <row r="86" spans="1:59" ht="15.75" customHeight="1" x14ac:dyDescent="0.25">
      <c r="B86" s="35" t="s">
        <v>233</v>
      </c>
      <c r="C86" s="28"/>
      <c r="D86" s="196"/>
      <c r="E86" s="196"/>
      <c r="F86" s="196"/>
      <c r="G86" s="196"/>
      <c r="H86" s="148"/>
      <c r="I86" s="148"/>
      <c r="J86" s="148"/>
      <c r="K86" s="148"/>
      <c r="L86" s="196"/>
      <c r="M86" s="196"/>
      <c r="N86" s="606"/>
      <c r="O86" s="606"/>
      <c r="P86" s="606"/>
      <c r="Q86" s="337" t="s">
        <v>45</v>
      </c>
      <c r="R86" s="182"/>
      <c r="S86" s="35" t="s">
        <v>233</v>
      </c>
      <c r="T86" s="28"/>
      <c r="U86" s="196"/>
      <c r="V86" s="196"/>
      <c r="W86" s="196"/>
      <c r="X86" s="196"/>
      <c r="Y86" s="148"/>
      <c r="Z86" s="148"/>
      <c r="AA86" s="148"/>
      <c r="AB86" s="148"/>
      <c r="AC86" s="196"/>
      <c r="AD86" s="196"/>
      <c r="AE86" s="669"/>
      <c r="AF86" s="669"/>
      <c r="AG86" s="337" t="s">
        <v>45</v>
      </c>
      <c r="AH86" s="204"/>
      <c r="AK86" s="208" t="s">
        <v>47</v>
      </c>
      <c r="AL86" s="208" t="s">
        <v>226</v>
      </c>
      <c r="AO86" s="208" t="s">
        <v>261</v>
      </c>
      <c r="AW86" s="382" t="s">
        <v>611</v>
      </c>
      <c r="AX86" s="383"/>
      <c r="AY86" s="383"/>
      <c r="AZ86" s="383"/>
      <c r="BA86" s="383"/>
      <c r="BB86" s="383"/>
      <c r="BC86" s="383"/>
      <c r="BD86" s="384"/>
      <c r="BE86" s="384"/>
      <c r="BF86" s="384"/>
      <c r="BG86" s="385"/>
    </row>
    <row r="87" spans="1:59" ht="15.75" customHeight="1" x14ac:dyDescent="0.2">
      <c r="B87" s="28"/>
      <c r="C87" s="189" t="str">
        <f>IF(N83&gt;0,"Fournir EN-VS-110","")</f>
        <v/>
      </c>
      <c r="D87" s="28"/>
      <c r="E87" s="28"/>
      <c r="F87" s="28"/>
      <c r="G87" s="28"/>
      <c r="H87" s="28"/>
      <c r="I87" s="43"/>
      <c r="J87" s="43"/>
      <c r="K87" s="43"/>
      <c r="L87" s="43"/>
      <c r="M87" s="43"/>
      <c r="N87" s="43"/>
      <c r="O87" s="28"/>
      <c r="P87" s="624"/>
      <c r="Q87" s="624"/>
      <c r="R87" s="26"/>
      <c r="S87" s="28"/>
      <c r="T87" s="17"/>
      <c r="U87" s="17"/>
      <c r="V87" s="33"/>
      <c r="W87" s="33"/>
      <c r="X87" s="33"/>
      <c r="Y87" s="17"/>
      <c r="Z87" s="17"/>
      <c r="AA87" s="17"/>
      <c r="AB87" s="17"/>
      <c r="AC87" s="17"/>
      <c r="AD87" s="17"/>
      <c r="AE87" s="17"/>
      <c r="AF87" s="17"/>
      <c r="AG87" s="17"/>
      <c r="AH87" s="17"/>
      <c r="AJ87" s="205"/>
      <c r="AK87" s="208">
        <f>IF(OR(N85&lt;&gt;0,N86&lt;&gt;0),IF(N86&lt;&gt;0,N86,N85),0)</f>
        <v>0</v>
      </c>
      <c r="AL87" s="208">
        <f>IF(AE86&lt;&gt;0,AE86,AE85)</f>
        <v>0</v>
      </c>
      <c r="AO87" s="208" t="s">
        <v>262</v>
      </c>
      <c r="AP87" s="208">
        <v>1</v>
      </c>
      <c r="AQ87" s="208">
        <v>3.1</v>
      </c>
      <c r="AR87" s="208" t="s">
        <v>326</v>
      </c>
      <c r="AW87" s="386"/>
      <c r="AX87" s="387"/>
      <c r="AY87" s="387"/>
      <c r="AZ87" s="387"/>
      <c r="BA87" s="387"/>
      <c r="BB87" s="387" t="s">
        <v>612</v>
      </c>
      <c r="BC87" s="387" t="s">
        <v>613</v>
      </c>
      <c r="BD87" s="387">
        <f>VLOOKUP(B113,AO85:AP106,2,FALSE)</f>
        <v>0</v>
      </c>
      <c r="BE87" s="387"/>
      <c r="BF87" s="388"/>
      <c r="BG87" s="389"/>
    </row>
    <row r="88" spans="1:59" ht="15.75" customHeight="1" x14ac:dyDescent="0.2">
      <c r="B88" s="28"/>
      <c r="C88" s="189"/>
      <c r="D88" s="28"/>
      <c r="E88" s="28"/>
      <c r="F88" s="28"/>
      <c r="G88" s="28"/>
      <c r="H88" s="28"/>
      <c r="I88" s="43"/>
      <c r="J88" s="43"/>
      <c r="K88" s="43"/>
      <c r="L88" s="43"/>
      <c r="M88" s="43"/>
      <c r="N88" s="43"/>
      <c r="O88" s="28"/>
      <c r="P88" s="200"/>
      <c r="Q88" s="200"/>
      <c r="R88" s="26"/>
      <c r="S88" s="28"/>
      <c r="T88" s="30"/>
      <c r="U88" s="28"/>
      <c r="V88" s="17"/>
      <c r="W88" s="17"/>
      <c r="X88" s="17"/>
      <c r="Y88" s="17"/>
      <c r="Z88" s="17"/>
      <c r="AA88" s="209"/>
      <c r="AB88" s="28"/>
      <c r="AC88" s="251"/>
      <c r="AD88" s="251"/>
      <c r="AE88" s="251"/>
      <c r="AF88" s="251"/>
      <c r="AG88" s="251"/>
      <c r="AH88" s="17"/>
      <c r="AO88" s="208" t="s">
        <v>263</v>
      </c>
      <c r="AP88" s="208">
        <v>1</v>
      </c>
      <c r="AQ88" s="208">
        <v>3.2</v>
      </c>
      <c r="AW88" s="386"/>
      <c r="AX88" s="387"/>
      <c r="AY88" s="387"/>
      <c r="AZ88" s="387"/>
      <c r="BA88" s="387"/>
      <c r="BB88" s="387"/>
      <c r="BC88" s="387" t="s">
        <v>614</v>
      </c>
      <c r="BD88" s="387">
        <f>N100*L117</f>
        <v>0</v>
      </c>
      <c r="BE88" s="387" t="s">
        <v>328</v>
      </c>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44" t="s">
        <v>440</v>
      </c>
      <c r="AB89" s="28"/>
      <c r="AC89" s="495">
        <f>IFERROR(IF(OR(AK74=2,AK74=4,AK74=6),AK87+AL87,0),0)</f>
        <v>0</v>
      </c>
      <c r="AD89" s="495"/>
      <c r="AE89" s="495"/>
      <c r="AF89" s="496" t="s">
        <v>45</v>
      </c>
      <c r="AG89" s="496"/>
      <c r="AH89" s="17"/>
      <c r="AK89" s="208" t="s">
        <v>385</v>
      </c>
      <c r="AO89" s="208" t="s">
        <v>264</v>
      </c>
      <c r="AP89" s="208">
        <v>1</v>
      </c>
      <c r="AQ89" s="208">
        <v>3.3</v>
      </c>
      <c r="AW89" s="386"/>
      <c r="AX89" s="387"/>
      <c r="AY89" s="387"/>
      <c r="AZ89" s="387"/>
      <c r="BA89" s="387"/>
      <c r="BB89" s="387"/>
      <c r="BC89" s="387" t="s">
        <v>615</v>
      </c>
      <c r="BD89" s="387" t="e">
        <f>VLOOKUP(2,BF94:BG128,2,FALSE)</f>
        <v>#N/A</v>
      </c>
      <c r="BE89" s="387"/>
      <c r="BF89" s="388"/>
      <c r="BG89" s="389"/>
    </row>
    <row r="90" spans="1:59" ht="15.75" customHeight="1" x14ac:dyDescent="0.2">
      <c r="A90" s="28"/>
      <c r="B90" s="45"/>
      <c r="C90" s="45"/>
      <c r="D90" s="202"/>
      <c r="E90" s="45"/>
      <c r="F90" s="45"/>
      <c r="G90" s="45"/>
      <c r="H90" s="45"/>
      <c r="I90" s="45"/>
      <c r="J90" s="45"/>
      <c r="K90" s="45"/>
      <c r="L90" s="45"/>
      <c r="M90" s="45"/>
      <c r="N90" s="45"/>
      <c r="O90" s="201"/>
      <c r="P90" s="201"/>
      <c r="Q90" s="201"/>
      <c r="R90" s="201"/>
      <c r="S90" s="201"/>
      <c r="T90" s="201"/>
      <c r="U90" s="201"/>
      <c r="V90" s="201"/>
      <c r="W90" s="201"/>
      <c r="X90" s="201"/>
      <c r="Y90" s="201"/>
      <c r="Z90" s="201"/>
      <c r="AA90" s="201"/>
      <c r="AB90" s="201"/>
      <c r="AC90" s="201"/>
      <c r="AD90" s="201"/>
      <c r="AE90" s="201"/>
      <c r="AF90" s="201"/>
      <c r="AG90" s="201"/>
      <c r="AH90" s="201"/>
      <c r="AK90" s="208">
        <f>IF(N86&lt;&gt;0,N86,0)</f>
        <v>0</v>
      </c>
      <c r="AL90" s="208">
        <f>IF(AE86&lt;&gt;0,AE86,0)</f>
        <v>0</v>
      </c>
      <c r="AO90" s="208" t="s">
        <v>265</v>
      </c>
      <c r="AP90" s="208">
        <v>1</v>
      </c>
      <c r="AQ90" s="208">
        <v>3.5</v>
      </c>
      <c r="AW90" s="386"/>
      <c r="AX90" s="387"/>
      <c r="AY90" s="387"/>
      <c r="AZ90" s="387"/>
      <c r="BA90" s="387"/>
      <c r="BB90" s="387"/>
      <c r="BC90" s="387"/>
      <c r="BD90" s="388"/>
      <c r="BE90" s="388"/>
      <c r="BF90" s="388"/>
      <c r="BG90" s="389"/>
    </row>
    <row r="91" spans="1:59" x14ac:dyDescent="0.2">
      <c r="B91" s="28"/>
      <c r="C91" s="28"/>
      <c r="D91" s="28"/>
      <c r="E91" s="28"/>
      <c r="F91" s="28"/>
      <c r="G91" s="28"/>
      <c r="H91" s="28"/>
      <c r="I91" s="28"/>
      <c r="J91" s="28"/>
      <c r="K91" s="28"/>
      <c r="L91" s="28"/>
      <c r="M91" s="28"/>
      <c r="N91" s="28"/>
      <c r="O91" s="28"/>
      <c r="P91" s="28"/>
      <c r="Q91" s="28"/>
      <c r="R91" s="28"/>
      <c r="S91" s="28"/>
      <c r="T91" s="28"/>
      <c r="U91" s="28"/>
      <c r="V91" s="289"/>
      <c r="W91" s="28"/>
      <c r="X91" s="28"/>
      <c r="Y91" s="28"/>
      <c r="Z91" s="28"/>
      <c r="AA91" s="28"/>
      <c r="AB91" s="28"/>
      <c r="AC91" s="28"/>
      <c r="AD91" s="28"/>
      <c r="AE91" s="28"/>
      <c r="AF91" s="28"/>
      <c r="AG91" s="28"/>
      <c r="AH91" s="28"/>
      <c r="AO91" s="208" t="s">
        <v>322</v>
      </c>
      <c r="AP91" s="208">
        <v>1</v>
      </c>
      <c r="AQ91" s="208">
        <v>3.7</v>
      </c>
      <c r="AW91" s="386"/>
      <c r="AX91" s="387"/>
      <c r="AY91" s="387"/>
      <c r="AZ91" s="387"/>
      <c r="BA91" s="387"/>
      <c r="BB91" s="387"/>
      <c r="BC91" s="387"/>
      <c r="BD91" s="388"/>
      <c r="BE91" s="388"/>
      <c r="BF91" s="388"/>
      <c r="BG91" s="389"/>
    </row>
    <row r="92" spans="1:59" ht="15.75" x14ac:dyDescent="0.2">
      <c r="B92" s="34" t="s">
        <v>142</v>
      </c>
      <c r="C92" s="18"/>
      <c r="D92" s="615" t="s">
        <v>327</v>
      </c>
      <c r="E92" s="615"/>
      <c r="F92" s="615"/>
      <c r="G92" s="615"/>
      <c r="H92" s="615"/>
      <c r="I92" s="615"/>
      <c r="J92" s="615"/>
      <c r="K92" s="615"/>
      <c r="L92" s="615"/>
      <c r="M92" s="615"/>
      <c r="N92" s="615"/>
      <c r="O92" s="615"/>
      <c r="P92" s="615"/>
      <c r="Q92" s="615"/>
      <c r="R92" s="615"/>
      <c r="S92" s="615"/>
      <c r="T92" s="615"/>
      <c r="U92" s="615"/>
      <c r="V92" s="616"/>
      <c r="W92" s="55"/>
      <c r="X92" s="56"/>
      <c r="Y92" s="56"/>
      <c r="Z92" s="56"/>
      <c r="AA92" s="56"/>
      <c r="AB92" s="56"/>
      <c r="AC92" s="56"/>
      <c r="AD92" s="28"/>
      <c r="AE92" s="78"/>
      <c r="AF92" s="78"/>
      <c r="AG92" s="78"/>
      <c r="AH92" s="73"/>
      <c r="AW92" s="386"/>
      <c r="AX92" s="387"/>
      <c r="AY92" s="387"/>
      <c r="AZ92" s="387"/>
      <c r="BA92" s="387"/>
      <c r="BB92" s="387"/>
      <c r="BC92" s="387"/>
      <c r="BD92" s="388"/>
      <c r="BE92" s="388"/>
      <c r="BF92" s="388"/>
      <c r="BG92" s="389"/>
    </row>
    <row r="93" spans="1:59" ht="15.75" x14ac:dyDescent="0.25">
      <c r="B93" s="34"/>
      <c r="C93" s="18"/>
      <c r="D93" s="615"/>
      <c r="E93" s="615"/>
      <c r="F93" s="615"/>
      <c r="G93" s="615"/>
      <c r="H93" s="615"/>
      <c r="I93" s="615"/>
      <c r="J93" s="615"/>
      <c r="K93" s="615"/>
      <c r="L93" s="615"/>
      <c r="M93" s="615"/>
      <c r="N93" s="615"/>
      <c r="O93" s="615"/>
      <c r="P93" s="615"/>
      <c r="Q93" s="615"/>
      <c r="R93" s="615"/>
      <c r="S93" s="615"/>
      <c r="T93" s="615"/>
      <c r="U93" s="615"/>
      <c r="V93" s="616"/>
      <c r="W93" s="55"/>
      <c r="X93" s="56"/>
      <c r="Y93" s="56"/>
      <c r="Z93" s="56"/>
      <c r="AA93" s="56"/>
      <c r="AB93" s="56"/>
      <c r="AC93" s="56"/>
      <c r="AE93" s="78"/>
      <c r="AF93" s="78"/>
      <c r="AG93" s="78"/>
      <c r="AH93" s="73"/>
      <c r="AW93" s="484" t="s">
        <v>616</v>
      </c>
      <c r="AX93" s="485"/>
      <c r="AY93" s="485"/>
      <c r="AZ93" s="485"/>
      <c r="BA93" s="485"/>
      <c r="BB93" s="485"/>
      <c r="BC93" s="485"/>
      <c r="BD93" s="486" t="s">
        <v>617</v>
      </c>
      <c r="BE93" s="486"/>
      <c r="BF93" s="486"/>
      <c r="BG93" s="487"/>
    </row>
    <row r="94" spans="1:59" ht="15.75" customHeight="1" thickBot="1" x14ac:dyDescent="0.3">
      <c r="B94" s="135" t="s">
        <v>591</v>
      </c>
      <c r="C94" s="136"/>
      <c r="D94" s="136"/>
      <c r="E94" s="136"/>
      <c r="F94" s="136"/>
      <c r="G94" s="136"/>
      <c r="H94" s="136"/>
      <c r="I94" s="136"/>
      <c r="J94" s="136"/>
      <c r="K94" s="136"/>
      <c r="L94" s="136"/>
      <c r="M94" s="136"/>
      <c r="N94" s="136"/>
      <c r="O94" s="14"/>
      <c r="P94" s="14"/>
      <c r="Q94" s="14"/>
      <c r="R94" s="14"/>
      <c r="S94" s="136"/>
      <c r="T94" s="288"/>
      <c r="U94" s="288"/>
      <c r="V94" s="195"/>
      <c r="W94" s="55"/>
      <c r="X94" s="56"/>
      <c r="Y94" s="56"/>
      <c r="Z94" s="56"/>
      <c r="AA94" s="56"/>
      <c r="AB94" s="56"/>
      <c r="AC94" s="56"/>
      <c r="AD94" s="56"/>
      <c r="AE94" s="56"/>
      <c r="AF94" s="56"/>
      <c r="AG94" s="56"/>
      <c r="AH94" s="55"/>
      <c r="AO94" s="208" t="s">
        <v>261</v>
      </c>
      <c r="AW94" s="390" t="s">
        <v>618</v>
      </c>
      <c r="AX94" s="388" t="s">
        <v>619</v>
      </c>
      <c r="AY94" s="387" t="s">
        <v>620</v>
      </c>
      <c r="AZ94" s="387" t="s">
        <v>621</v>
      </c>
      <c r="BA94" s="387" t="s">
        <v>622</v>
      </c>
      <c r="BB94" s="387" t="s">
        <v>623</v>
      </c>
      <c r="BC94" s="381"/>
      <c r="BD94" s="391" t="s">
        <v>624</v>
      </c>
      <c r="BE94" s="391" t="s">
        <v>625</v>
      </c>
      <c r="BF94" s="391" t="s">
        <v>626</v>
      </c>
      <c r="BG94" s="392" t="s">
        <v>627</v>
      </c>
    </row>
    <row r="95" spans="1:59" ht="15.75" customHeight="1" x14ac:dyDescent="0.25">
      <c r="B95" s="57"/>
      <c r="C95" s="57"/>
      <c r="D95" s="57"/>
      <c r="E95" s="57"/>
      <c r="F95" s="57"/>
      <c r="G95" s="57"/>
      <c r="H95" s="57"/>
      <c r="I95" s="57"/>
      <c r="J95" s="57"/>
      <c r="K95" s="57"/>
      <c r="L95" s="57"/>
      <c r="M95" s="57"/>
      <c r="N95" s="57"/>
      <c r="O95" s="57"/>
      <c r="P95" s="54"/>
      <c r="Q95" s="54"/>
      <c r="R95" s="54"/>
      <c r="S95" s="54"/>
      <c r="T95" s="54"/>
      <c r="U95" s="54"/>
      <c r="V95" s="54"/>
      <c r="W95" s="55"/>
      <c r="X95" s="56"/>
      <c r="Y95" s="56"/>
      <c r="Z95" s="56"/>
      <c r="AA95" s="56"/>
      <c r="AB95" s="56"/>
      <c r="AC95" s="56"/>
      <c r="AD95" s="56"/>
      <c r="AE95" s="56"/>
      <c r="AF95" s="17"/>
      <c r="AG95" s="56"/>
      <c r="AH95" s="55"/>
      <c r="AO95" s="208" t="s">
        <v>266</v>
      </c>
      <c r="AP95" s="208">
        <v>2</v>
      </c>
      <c r="AQ95" s="208">
        <v>3.85</v>
      </c>
      <c r="AR95" s="208" t="s">
        <v>324</v>
      </c>
      <c r="AW95" s="390">
        <v>1</v>
      </c>
      <c r="AX95" s="388">
        <v>12</v>
      </c>
      <c r="AY95" s="387">
        <v>3.1</v>
      </c>
      <c r="AZ95" s="387"/>
      <c r="BA95" s="387"/>
      <c r="BB95" s="399"/>
      <c r="BC95" s="381" t="s">
        <v>628</v>
      </c>
      <c r="BD95" s="391">
        <f t="shared" ref="BD95:BD128" si="0">IF($BD$87=AW95,1,0)</f>
        <v>0</v>
      </c>
      <c r="BE95" s="391">
        <f>IF(BD88&lt;12,1,0)</f>
        <v>1</v>
      </c>
      <c r="BF95" s="391">
        <f>BD95+BE95</f>
        <v>1</v>
      </c>
      <c r="BG95" s="393">
        <v>3.1</v>
      </c>
    </row>
    <row r="96" spans="1:59" ht="15.75" x14ac:dyDescent="0.25">
      <c r="B96" s="198"/>
      <c r="C96" s="28" t="s">
        <v>64</v>
      </c>
      <c r="D96" s="28"/>
      <c r="E96" s="28"/>
      <c r="F96" s="28"/>
      <c r="G96" s="63"/>
      <c r="H96" s="63"/>
      <c r="I96" s="63"/>
      <c r="J96" s="32"/>
      <c r="K96" s="18"/>
      <c r="L96" s="198"/>
      <c r="M96" s="198"/>
      <c r="N96" s="670"/>
      <c r="O96" s="670"/>
      <c r="P96" s="670"/>
      <c r="Q96" s="144" t="s">
        <v>329</v>
      </c>
      <c r="R96" s="28"/>
      <c r="S96" s="28"/>
      <c r="T96" s="54"/>
      <c r="U96" s="28" t="s">
        <v>59</v>
      </c>
      <c r="V96" s="57"/>
      <c r="W96" s="55"/>
      <c r="X96" s="53"/>
      <c r="Y96" s="54"/>
      <c r="Z96" s="58"/>
      <c r="AA96" s="56"/>
      <c r="AB96" s="56"/>
      <c r="AC96" s="56"/>
      <c r="AD96" s="56"/>
      <c r="AE96" s="56"/>
      <c r="AF96" s="56"/>
      <c r="AG96" s="56"/>
      <c r="AH96" s="55"/>
      <c r="AI96" s="54"/>
      <c r="AK96" s="433" t="s">
        <v>706</v>
      </c>
      <c r="AO96" s="208" t="s">
        <v>267</v>
      </c>
      <c r="AP96" s="208">
        <v>2</v>
      </c>
      <c r="AQ96" s="208">
        <v>4.25</v>
      </c>
      <c r="AW96" s="390">
        <v>1</v>
      </c>
      <c r="AX96" s="388"/>
      <c r="AY96" s="387"/>
      <c r="AZ96" s="387"/>
      <c r="BA96" s="387"/>
      <c r="BB96" s="399"/>
      <c r="BC96" s="381" t="s">
        <v>629</v>
      </c>
      <c r="BD96" s="391">
        <f t="shared" si="0"/>
        <v>0</v>
      </c>
      <c r="BE96" s="391">
        <f>IF(BD88=12,1,0)</f>
        <v>0</v>
      </c>
      <c r="BF96" s="391">
        <f t="shared" ref="BF96:BF128" si="1">BD96+BE96</f>
        <v>0</v>
      </c>
      <c r="BG96" s="393">
        <v>3.1</v>
      </c>
    </row>
    <row r="97" spans="2:59" ht="15.75" customHeight="1" x14ac:dyDescent="0.25">
      <c r="B97" s="198"/>
      <c r="C97" s="28" t="s">
        <v>292</v>
      </c>
      <c r="D97" s="28"/>
      <c r="E97" s="28"/>
      <c r="F97" s="28"/>
      <c r="G97" s="63"/>
      <c r="H97" s="63"/>
      <c r="I97" s="63"/>
      <c r="J97" s="32"/>
      <c r="K97" s="18"/>
      <c r="L97" s="198"/>
      <c r="M97" s="198"/>
      <c r="N97" s="198"/>
      <c r="O97" s="28"/>
      <c r="P97" s="28"/>
      <c r="Q97" s="28"/>
      <c r="R97" s="64"/>
      <c r="S97" s="64"/>
      <c r="T97" s="65"/>
      <c r="U97" s="59"/>
      <c r="V97" s="57"/>
      <c r="W97" s="55"/>
      <c r="X97" s="60"/>
      <c r="Y97" s="54"/>
      <c r="Z97" s="58"/>
      <c r="AA97" s="56"/>
      <c r="AB97" s="56"/>
      <c r="AC97" s="56"/>
      <c r="AD97" s="56"/>
      <c r="AE97" s="56"/>
      <c r="AF97" s="56"/>
      <c r="AG97" s="56"/>
      <c r="AH97" s="55"/>
      <c r="AI97" s="54"/>
      <c r="AJ97" s="53"/>
      <c r="AK97" s="433" t="b">
        <v>0</v>
      </c>
      <c r="AO97" s="208" t="s">
        <v>268</v>
      </c>
      <c r="AP97" s="208">
        <v>2</v>
      </c>
      <c r="AQ97" s="208">
        <v>4.6500000000000004</v>
      </c>
      <c r="AW97" s="390">
        <v>1</v>
      </c>
      <c r="AX97" s="388">
        <v>100</v>
      </c>
      <c r="AY97" s="387">
        <v>3.2</v>
      </c>
      <c r="AZ97" s="387">
        <f>AX97-AX95</f>
        <v>88</v>
      </c>
      <c r="BA97" s="387">
        <f>AY97-AY95</f>
        <v>0.10000000000000009</v>
      </c>
      <c r="BB97" s="399">
        <f>BA97/AZ97</f>
        <v>1.1363636363636374E-3</v>
      </c>
      <c r="BC97" s="381" t="s">
        <v>630</v>
      </c>
      <c r="BD97" s="391">
        <f t="shared" si="0"/>
        <v>0</v>
      </c>
      <c r="BE97" s="391">
        <f>IF(AND(BD88&gt;12,BD88&lt;100),1,0)</f>
        <v>0</v>
      </c>
      <c r="BF97" s="391">
        <f t="shared" si="1"/>
        <v>0</v>
      </c>
      <c r="BG97" s="393">
        <f>AY95+(($BD$88-AX95)*BA97/AZ97)</f>
        <v>3.0863636363636364</v>
      </c>
    </row>
    <row r="98" spans="2:59" ht="15.75" customHeight="1" x14ac:dyDescent="0.25">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O98" s="208" t="s">
        <v>269</v>
      </c>
      <c r="AP98" s="208">
        <v>2</v>
      </c>
      <c r="AQ98" s="208">
        <v>5.05</v>
      </c>
      <c r="AW98" s="390">
        <v>1</v>
      </c>
      <c r="AX98" s="388"/>
      <c r="AY98" s="387"/>
      <c r="AZ98" s="387"/>
      <c r="BA98" s="387"/>
      <c r="BB98" s="399"/>
      <c r="BC98" s="381" t="s">
        <v>631</v>
      </c>
      <c r="BD98" s="391">
        <f t="shared" si="0"/>
        <v>0</v>
      </c>
      <c r="BE98" s="391">
        <f>IF(BD88=100,1,0)</f>
        <v>0</v>
      </c>
      <c r="BF98" s="391">
        <f t="shared" si="1"/>
        <v>0</v>
      </c>
      <c r="BG98" s="393">
        <v>3.2</v>
      </c>
    </row>
    <row r="99" spans="2:59" ht="15" x14ac:dyDescent="0.25">
      <c r="B99" s="305" t="s">
        <v>297</v>
      </c>
      <c r="C99" s="306"/>
      <c r="D99" s="306"/>
      <c r="E99" s="306"/>
      <c r="F99" s="306"/>
      <c r="G99" s="306"/>
      <c r="H99" s="306"/>
      <c r="I99" s="306"/>
      <c r="J99" s="306"/>
      <c r="K99" s="306"/>
      <c r="L99" s="306"/>
      <c r="M99" s="307"/>
      <c r="N99" s="306"/>
      <c r="O99" s="308"/>
      <c r="P99" s="308"/>
      <c r="Q99" s="306"/>
      <c r="R99" s="306"/>
      <c r="S99" s="309" t="s">
        <v>291</v>
      </c>
      <c r="T99" s="310"/>
      <c r="U99" s="310"/>
      <c r="V99" s="310"/>
      <c r="W99" s="310"/>
      <c r="X99" s="310"/>
      <c r="Y99" s="310"/>
      <c r="Z99" s="310"/>
      <c r="AA99" s="310"/>
      <c r="AB99" s="310"/>
      <c r="AC99" s="310"/>
      <c r="AD99" s="310"/>
      <c r="AE99" s="310"/>
      <c r="AF99" s="310"/>
      <c r="AG99" s="310"/>
      <c r="AH99" s="306"/>
      <c r="AI99" s="54"/>
      <c r="AJ99" s="53"/>
      <c r="AO99" s="208" t="s">
        <v>270</v>
      </c>
      <c r="AP99" s="208">
        <v>2</v>
      </c>
      <c r="AQ99" s="208">
        <v>5.5</v>
      </c>
      <c r="AW99" s="390">
        <v>1</v>
      </c>
      <c r="AX99" s="388">
        <v>300</v>
      </c>
      <c r="AY99" s="387">
        <v>3.3</v>
      </c>
      <c r="AZ99" s="387">
        <f>AX99-AX97</f>
        <v>200</v>
      </c>
      <c r="BA99" s="387">
        <f>AY99-AY97</f>
        <v>9.9999999999999645E-2</v>
      </c>
      <c r="BB99" s="399">
        <f t="shared" ref="BB99:BB103" si="2">BA99/AZ99</f>
        <v>4.9999999999999828E-4</v>
      </c>
      <c r="BC99" s="381" t="s">
        <v>632</v>
      </c>
      <c r="BD99" s="391">
        <f t="shared" si="0"/>
        <v>0</v>
      </c>
      <c r="BE99" s="391">
        <f>IF(AND(BD88&gt;100,BD88&lt;300),1,0)</f>
        <v>0</v>
      </c>
      <c r="BF99" s="391">
        <f t="shared" si="1"/>
        <v>0</v>
      </c>
      <c r="BG99" s="393">
        <f>AY97+(($BD$88-AX97)*BA99/AZ99)</f>
        <v>3.1500000000000004</v>
      </c>
    </row>
    <row r="100" spans="2:59" ht="15.75" customHeight="1" x14ac:dyDescent="0.25">
      <c r="B100" s="28" t="s">
        <v>61</v>
      </c>
      <c r="C100" s="28"/>
      <c r="D100" s="28"/>
      <c r="E100" s="28"/>
      <c r="F100" s="28"/>
      <c r="G100" s="28"/>
      <c r="H100" s="28"/>
      <c r="I100" s="28"/>
      <c r="J100" s="28"/>
      <c r="K100" s="28"/>
      <c r="L100" s="28"/>
      <c r="M100" s="28"/>
      <c r="N100" s="664"/>
      <c r="O100" s="664"/>
      <c r="P100" s="664"/>
      <c r="Q100" s="337" t="s">
        <v>328</v>
      </c>
      <c r="R100" s="182"/>
      <c r="S100" s="292" t="s">
        <v>242</v>
      </c>
      <c r="T100" s="28"/>
      <c r="U100" s="28"/>
      <c r="V100" s="28"/>
      <c r="W100" s="28"/>
      <c r="X100" s="28"/>
      <c r="Y100" s="28"/>
      <c r="Z100" s="28"/>
      <c r="AA100" s="28"/>
      <c r="AB100" s="28"/>
      <c r="AC100" s="251"/>
      <c r="AD100" s="251"/>
      <c r="AE100" s="673"/>
      <c r="AF100" s="673"/>
      <c r="AG100" s="337" t="s">
        <v>328</v>
      </c>
      <c r="AH100" s="28"/>
      <c r="AI100" s="54"/>
      <c r="AJ100" s="53"/>
      <c r="AW100" s="390">
        <v>1</v>
      </c>
      <c r="AX100" s="388"/>
      <c r="AY100" s="387"/>
      <c r="AZ100" s="387"/>
      <c r="BA100" s="387"/>
      <c r="BB100" s="399"/>
      <c r="BC100" s="381" t="s">
        <v>633</v>
      </c>
      <c r="BD100" s="391">
        <f t="shared" si="0"/>
        <v>0</v>
      </c>
      <c r="BE100" s="391">
        <f>IF(BD88=300,1,0)</f>
        <v>0</v>
      </c>
      <c r="BF100" s="391">
        <f t="shared" si="1"/>
        <v>0</v>
      </c>
      <c r="BG100" s="393">
        <v>3.3</v>
      </c>
    </row>
    <row r="101" spans="2:59" ht="15.75" customHeight="1" x14ac:dyDescent="0.25">
      <c r="B101" s="282"/>
      <c r="C101" s="114"/>
      <c r="D101" s="114"/>
      <c r="E101" s="114"/>
      <c r="F101" s="114"/>
      <c r="G101" s="114"/>
      <c r="H101" s="114"/>
      <c r="I101" s="114"/>
      <c r="J101" s="114"/>
      <c r="K101" s="114"/>
      <c r="L101" s="274"/>
      <c r="M101" s="274"/>
      <c r="N101" s="339"/>
      <c r="O101" s="339"/>
      <c r="P101" s="266"/>
      <c r="Q101" s="99"/>
      <c r="R101" s="182"/>
      <c r="S101" s="291"/>
      <c r="T101" s="114"/>
      <c r="U101" s="114"/>
      <c r="V101" s="114"/>
      <c r="W101" s="114"/>
      <c r="X101" s="114"/>
      <c r="Y101" s="114"/>
      <c r="Z101" s="114"/>
      <c r="AA101" s="114"/>
      <c r="AB101" s="114"/>
      <c r="AC101" s="274"/>
      <c r="AD101" s="274"/>
      <c r="AE101" s="339"/>
      <c r="AF101" s="339"/>
      <c r="AG101" s="338"/>
      <c r="AH101" s="28"/>
      <c r="AI101" s="54"/>
      <c r="AJ101" s="53"/>
      <c r="AK101" s="208" t="s">
        <v>317</v>
      </c>
      <c r="AL101" s="208" t="s">
        <v>318</v>
      </c>
      <c r="AO101" s="208" t="s">
        <v>261</v>
      </c>
      <c r="AW101" s="390">
        <v>1</v>
      </c>
      <c r="AX101" s="388">
        <v>600</v>
      </c>
      <c r="AY101" s="387">
        <v>3.5</v>
      </c>
      <c r="AZ101" s="387">
        <f>AX101-AX99</f>
        <v>300</v>
      </c>
      <c r="BA101" s="387">
        <f>AY101-AY99</f>
        <v>0.20000000000000018</v>
      </c>
      <c r="BB101" s="399">
        <f t="shared" si="2"/>
        <v>6.6666666666666729E-4</v>
      </c>
      <c r="BC101" s="381" t="s">
        <v>634</v>
      </c>
      <c r="BD101" s="391">
        <f t="shared" si="0"/>
        <v>0</v>
      </c>
      <c r="BE101" s="391">
        <f>IF(AND(BD88&gt;300,BD88&lt;600),1,0)</f>
        <v>0</v>
      </c>
      <c r="BF101" s="391">
        <f t="shared" si="1"/>
        <v>0</v>
      </c>
      <c r="BG101" s="393">
        <f>AY99+(($BD$88-AX99)*BA101/AZ101)</f>
        <v>3.0999999999999996</v>
      </c>
    </row>
    <row r="102" spans="2:59" ht="15.75" customHeight="1" x14ac:dyDescent="0.25">
      <c r="B102" s="35" t="s">
        <v>232</v>
      </c>
      <c r="C102" s="114"/>
      <c r="D102" s="114"/>
      <c r="E102" s="114"/>
      <c r="F102" s="114"/>
      <c r="G102" s="114"/>
      <c r="H102" s="114"/>
      <c r="I102" s="114"/>
      <c r="J102" s="114"/>
      <c r="K102" s="114"/>
      <c r="L102" s="274"/>
      <c r="M102" s="274"/>
      <c r="N102" s="602">
        <f>IF(N100*1000=0,0,N100*1000)</f>
        <v>0</v>
      </c>
      <c r="O102" s="602"/>
      <c r="P102" s="602"/>
      <c r="Q102" s="337" t="s">
        <v>45</v>
      </c>
      <c r="R102" s="182"/>
      <c r="S102" s="293" t="s">
        <v>243</v>
      </c>
      <c r="T102" s="114"/>
      <c r="U102" s="114"/>
      <c r="V102" s="114"/>
      <c r="W102" s="114"/>
      <c r="X102" s="114"/>
      <c r="Y102" s="114"/>
      <c r="Z102" s="114"/>
      <c r="AA102" s="114"/>
      <c r="AB102" s="114"/>
      <c r="AC102" s="274"/>
      <c r="AD102" s="274"/>
      <c r="AE102" s="604">
        <f>IF(AE100*1000=0,0,AE100*1000)</f>
        <v>0</v>
      </c>
      <c r="AF102" s="604"/>
      <c r="AG102" s="337" t="s">
        <v>45</v>
      </c>
      <c r="AH102" s="26"/>
      <c r="AI102" s="54"/>
      <c r="AJ102" s="53"/>
      <c r="AK102" s="208">
        <f>IF(N103&lt;&gt;0,N103,N102)</f>
        <v>0</v>
      </c>
      <c r="AL102" s="208">
        <f>IF(AE103&lt;&gt;0,AE103,AE102)</f>
        <v>0</v>
      </c>
      <c r="AO102" s="208" t="s">
        <v>582</v>
      </c>
      <c r="AP102" s="208">
        <v>3</v>
      </c>
      <c r="AQ102" s="208">
        <v>2.9</v>
      </c>
      <c r="AR102" s="208" t="s">
        <v>325</v>
      </c>
      <c r="AW102" s="390">
        <v>1</v>
      </c>
      <c r="AX102" s="388"/>
      <c r="AY102" s="387"/>
      <c r="AZ102" s="387"/>
      <c r="BA102" s="387"/>
      <c r="BB102" s="399"/>
      <c r="BC102" s="381" t="s">
        <v>635</v>
      </c>
      <c r="BD102" s="391">
        <f t="shared" si="0"/>
        <v>0</v>
      </c>
      <c r="BE102" s="391">
        <f>IF(BD88=600,1,0)</f>
        <v>0</v>
      </c>
      <c r="BF102" s="391">
        <f t="shared" si="1"/>
        <v>0</v>
      </c>
      <c r="BG102" s="393">
        <v>3.5</v>
      </c>
    </row>
    <row r="103" spans="2:59" ht="15.75" customHeight="1" x14ac:dyDescent="0.25">
      <c r="B103" s="35" t="s">
        <v>592</v>
      </c>
      <c r="C103" s="28"/>
      <c r="D103" s="196"/>
      <c r="E103" s="196"/>
      <c r="F103" s="196"/>
      <c r="G103" s="196"/>
      <c r="H103" s="148"/>
      <c r="I103" s="148"/>
      <c r="J103" s="148"/>
      <c r="K103" s="148"/>
      <c r="L103" s="196"/>
      <c r="M103" s="196"/>
      <c r="N103" s="603"/>
      <c r="O103" s="603"/>
      <c r="P103" s="603"/>
      <c r="Q103" s="337" t="s">
        <v>45</v>
      </c>
      <c r="R103" s="182"/>
      <c r="S103" s="293" t="s">
        <v>593</v>
      </c>
      <c r="T103" s="28"/>
      <c r="U103" s="196"/>
      <c r="V103" s="196"/>
      <c r="W103" s="196"/>
      <c r="X103" s="196"/>
      <c r="Y103" s="148"/>
      <c r="Z103" s="148"/>
      <c r="AA103" s="148"/>
      <c r="AB103" s="148"/>
      <c r="AC103" s="196"/>
      <c r="AD103" s="196"/>
      <c r="AE103" s="603"/>
      <c r="AF103" s="603"/>
      <c r="AG103" s="337" t="s">
        <v>45</v>
      </c>
      <c r="AH103" s="204"/>
      <c r="AI103" s="54"/>
      <c r="AJ103" s="53"/>
      <c r="AK103" s="208" t="s">
        <v>385</v>
      </c>
      <c r="AO103" s="208" t="s">
        <v>271</v>
      </c>
      <c r="AP103" s="208">
        <v>3</v>
      </c>
      <c r="AQ103" s="208">
        <v>3.1</v>
      </c>
      <c r="AW103" s="390">
        <v>1</v>
      </c>
      <c r="AX103" s="388">
        <v>1000</v>
      </c>
      <c r="AY103" s="387">
        <v>3.7</v>
      </c>
      <c r="AZ103" s="387">
        <f t="shared" ref="AZ103:BA103" si="3">AX103-AX101</f>
        <v>400</v>
      </c>
      <c r="BA103" s="387">
        <f t="shared" si="3"/>
        <v>0.20000000000000018</v>
      </c>
      <c r="BB103" s="399">
        <f t="shared" si="2"/>
        <v>5.0000000000000044E-4</v>
      </c>
      <c r="BC103" s="381" t="s">
        <v>636</v>
      </c>
      <c r="BD103" s="391">
        <f t="shared" si="0"/>
        <v>0</v>
      </c>
      <c r="BE103" s="391">
        <f>IF(AND(BD88&gt;600,BE99&lt;1000),1,0)</f>
        <v>0</v>
      </c>
      <c r="BF103" s="391">
        <f t="shared" si="1"/>
        <v>0</v>
      </c>
      <c r="BG103" s="393">
        <f>AY101+(($BD$88-AX101)*BA103/AZ103)</f>
        <v>3.1999999999999997</v>
      </c>
    </row>
    <row r="104" spans="2:59" ht="15.75" customHeight="1" x14ac:dyDescent="0.25">
      <c r="B104" s="198"/>
      <c r="C104" s="28"/>
      <c r="D104" s="28"/>
      <c r="E104" s="28"/>
      <c r="F104" s="28"/>
      <c r="G104" s="28"/>
      <c r="H104" s="28"/>
      <c r="I104" s="28"/>
      <c r="J104" s="28"/>
      <c r="K104" s="28"/>
      <c r="L104" s="28"/>
      <c r="M104" s="118"/>
      <c r="N104" s="118"/>
      <c r="O104" s="263"/>
      <c r="P104" s="108"/>
      <c r="Q104" s="41"/>
      <c r="R104" s="345"/>
      <c r="S104" s="41"/>
      <c r="T104" s="41"/>
      <c r="U104" s="17"/>
      <c r="V104" s="33"/>
      <c r="W104" s="56"/>
      <c r="X104" s="28"/>
      <c r="Y104" s="28"/>
      <c r="Z104" s="28"/>
      <c r="AA104" s="28"/>
      <c r="AB104" s="28"/>
      <c r="AC104" s="28"/>
      <c r="AD104" s="28"/>
      <c r="AE104" s="28"/>
      <c r="AF104" s="28"/>
      <c r="AG104" s="28"/>
      <c r="AH104" s="28"/>
      <c r="AI104" s="54"/>
      <c r="AJ104" s="53"/>
      <c r="AK104" s="208">
        <f>IF(N103&lt;&gt;0,N103,0)</f>
        <v>0</v>
      </c>
      <c r="AL104" s="208">
        <f>IF(AE103&lt;&gt;0,AE103,0)</f>
        <v>0</v>
      </c>
      <c r="AO104" s="208" t="s">
        <v>272</v>
      </c>
      <c r="AP104" s="208">
        <v>3</v>
      </c>
      <c r="AQ104" s="208">
        <v>3.2</v>
      </c>
      <c r="AW104" s="390">
        <v>1</v>
      </c>
      <c r="AX104" s="388"/>
      <c r="AY104" s="387"/>
      <c r="AZ104" s="387"/>
      <c r="BA104" s="387"/>
      <c r="BB104" s="399"/>
      <c r="BC104" s="381" t="s">
        <v>637</v>
      </c>
      <c r="BD104" s="391">
        <f t="shared" si="0"/>
        <v>0</v>
      </c>
      <c r="BE104" s="391">
        <f>IF(BD88=1000,1,0)</f>
        <v>0</v>
      </c>
      <c r="BF104" s="391">
        <f t="shared" si="1"/>
        <v>0</v>
      </c>
      <c r="BG104" s="393">
        <v>3.7</v>
      </c>
    </row>
    <row r="105" spans="2:59" ht="15.75" customHeight="1" x14ac:dyDescent="0.25">
      <c r="B105" s="98" t="s">
        <v>336</v>
      </c>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O105" s="208" t="s">
        <v>273</v>
      </c>
      <c r="AP105" s="208">
        <v>3</v>
      </c>
      <c r="AQ105" s="208">
        <v>3.4</v>
      </c>
      <c r="AW105" s="390">
        <v>1</v>
      </c>
      <c r="AX105" s="388"/>
      <c r="AY105" s="387"/>
      <c r="AZ105" s="387"/>
      <c r="BA105" s="387"/>
      <c r="BB105" s="399"/>
      <c r="BC105" s="381" t="s">
        <v>638</v>
      </c>
      <c r="BD105" s="391">
        <f t="shared" si="0"/>
        <v>0</v>
      </c>
      <c r="BE105" s="391">
        <f>IF(BD88&gt;1000,1,0)</f>
        <v>0</v>
      </c>
      <c r="BF105" s="391">
        <f t="shared" si="1"/>
        <v>0</v>
      </c>
      <c r="BG105" s="393">
        <v>3.7</v>
      </c>
    </row>
    <row r="106" spans="2:59" ht="15.75" customHeight="1" x14ac:dyDescent="0.25">
      <c r="B106" s="677" t="s">
        <v>210</v>
      </c>
      <c r="C106" s="677"/>
      <c r="D106" s="677"/>
      <c r="E106" s="677"/>
      <c r="F106" s="677"/>
      <c r="G106" s="677"/>
      <c r="H106" s="677"/>
      <c r="I106" s="677"/>
      <c r="J106" s="677"/>
      <c r="K106" s="677"/>
      <c r="L106" s="677"/>
      <c r="M106" s="677"/>
      <c r="N106" s="677"/>
      <c r="O106" s="347" t="str">
        <f>IF(ISBLANK(B106),"&lt;- cette cellule ne doit pas être vide ! justificatif invalide !","")</f>
        <v/>
      </c>
      <c r="P106" s="108"/>
      <c r="Q106" s="41"/>
      <c r="R106" s="345"/>
      <c r="S106" s="41"/>
      <c r="T106" s="41"/>
      <c r="U106" s="17"/>
      <c r="V106" s="33"/>
      <c r="W106" s="56"/>
      <c r="X106" s="28"/>
      <c r="Y106" s="28"/>
      <c r="Z106" s="28"/>
      <c r="AA106" s="28"/>
      <c r="AB106" s="28"/>
      <c r="AC106" s="28"/>
      <c r="AD106" s="28"/>
      <c r="AE106" s="28"/>
      <c r="AF106" s="28"/>
      <c r="AG106" s="28"/>
      <c r="AH106" s="28"/>
      <c r="AI106" s="54"/>
      <c r="AJ106" s="53"/>
      <c r="AK106" s="208">
        <f>IF(AK97=TRUE,(VLOOKUP(B106,AK124:AM129,3,FALSE)),(VLOOKUP(B106,AS124:AU129,3,FALSE)))</f>
        <v>0</v>
      </c>
      <c r="AL106" s="208" t="s">
        <v>350</v>
      </c>
      <c r="AO106" s="208" t="s">
        <v>274</v>
      </c>
      <c r="AP106" s="208">
        <v>3</v>
      </c>
      <c r="AQ106" s="208">
        <v>3.5</v>
      </c>
      <c r="AW106" s="390">
        <v>2</v>
      </c>
      <c r="AX106" s="388">
        <v>12</v>
      </c>
      <c r="AY106" s="387">
        <v>3.85</v>
      </c>
      <c r="AZ106" s="387"/>
      <c r="BA106" s="387"/>
      <c r="BB106" s="399"/>
      <c r="BC106" s="381" t="s">
        <v>628</v>
      </c>
      <c r="BD106" s="391">
        <f t="shared" si="0"/>
        <v>0</v>
      </c>
      <c r="BE106" s="391">
        <f>IF(BD88&lt;12,1,0)</f>
        <v>1</v>
      </c>
      <c r="BF106" s="391">
        <f t="shared" si="1"/>
        <v>1</v>
      </c>
      <c r="BG106" s="392">
        <v>3.85</v>
      </c>
    </row>
    <row r="107" spans="2:59" ht="15" customHeight="1" x14ac:dyDescent="0.25">
      <c r="B107" s="483" t="s">
        <v>210</v>
      </c>
      <c r="C107" s="483"/>
      <c r="D107" s="483"/>
      <c r="E107" s="483"/>
      <c r="F107" s="483"/>
      <c r="G107" s="483"/>
      <c r="H107" s="483"/>
      <c r="I107" s="483"/>
      <c r="J107" s="483"/>
      <c r="K107" s="483"/>
      <c r="L107" s="483"/>
      <c r="M107" s="483"/>
      <c r="N107" s="483"/>
      <c r="O107" s="263"/>
      <c r="P107" s="108"/>
      <c r="Q107" s="41"/>
      <c r="R107" s="345"/>
      <c r="S107" s="41"/>
      <c r="T107" s="41"/>
      <c r="U107" s="17"/>
      <c r="V107" s="33"/>
      <c r="W107" s="56"/>
      <c r="X107" s="28"/>
      <c r="Y107" s="28"/>
      <c r="Z107" s="28"/>
      <c r="AA107" s="28"/>
      <c r="AB107" s="28"/>
      <c r="AC107" s="28"/>
      <c r="AD107" s="28"/>
      <c r="AE107" s="28"/>
      <c r="AF107" s="28"/>
      <c r="AG107" s="28"/>
      <c r="AH107" s="28"/>
      <c r="AI107" s="54"/>
      <c r="AJ107" s="53"/>
      <c r="AW107" s="390">
        <v>2</v>
      </c>
      <c r="AX107" s="388"/>
      <c r="AY107" s="387"/>
      <c r="AZ107" s="387"/>
      <c r="BA107" s="387"/>
      <c r="BB107" s="399"/>
      <c r="BC107" s="381" t="s">
        <v>629</v>
      </c>
      <c r="BD107" s="391">
        <f t="shared" si="0"/>
        <v>0</v>
      </c>
      <c r="BE107" s="391">
        <f>IF(BD88=12,1,0)</f>
        <v>0</v>
      </c>
      <c r="BF107" s="391">
        <f t="shared" si="1"/>
        <v>0</v>
      </c>
      <c r="BG107" s="392">
        <v>3.85</v>
      </c>
    </row>
    <row r="108" spans="2:59" ht="15" x14ac:dyDescent="0.25">
      <c r="B108" s="483"/>
      <c r="C108" s="483"/>
      <c r="D108" s="483"/>
      <c r="E108" s="483"/>
      <c r="F108" s="483"/>
      <c r="G108" s="483"/>
      <c r="H108" s="483"/>
      <c r="I108" s="483"/>
      <c r="J108" s="483"/>
      <c r="K108" s="483"/>
      <c r="L108" s="483"/>
      <c r="M108" s="483"/>
      <c r="N108" s="483"/>
      <c r="O108" s="434" t="str">
        <f>IF(AND(AK118=TRUE,AK119="PAS habitat"),"Attention, ce motif n'est PAS valable hors cat. habitat - veuillez corriger votre choix","")</f>
        <v/>
      </c>
      <c r="P108" s="108"/>
      <c r="Q108" s="41"/>
      <c r="R108" s="32"/>
      <c r="S108" s="41"/>
      <c r="T108" s="41"/>
      <c r="U108" s="17"/>
      <c r="V108" s="33"/>
      <c r="W108" s="56"/>
      <c r="X108" s="28"/>
      <c r="Y108" s="28"/>
      <c r="Z108" s="28"/>
      <c r="AA108" s="28"/>
      <c r="AB108" s="28"/>
      <c r="AC108" s="28"/>
      <c r="AD108" s="28"/>
      <c r="AE108" s="28"/>
      <c r="AF108" s="28"/>
      <c r="AG108" s="28"/>
      <c r="AH108" s="28"/>
      <c r="AI108" s="54"/>
      <c r="AJ108" s="53"/>
      <c r="AW108" s="390"/>
      <c r="AX108" s="388"/>
      <c r="AY108" s="387"/>
      <c r="AZ108" s="387"/>
      <c r="BA108" s="387"/>
      <c r="BB108" s="399"/>
      <c r="BC108" s="381"/>
      <c r="BD108" s="391"/>
      <c r="BE108" s="391"/>
      <c r="BF108" s="391"/>
      <c r="BG108" s="392"/>
    </row>
    <row r="109" spans="2:59" ht="15.75" customHeight="1" x14ac:dyDescent="0.25">
      <c r="B109" s="237" t="s">
        <v>440</v>
      </c>
      <c r="C109" s="189"/>
      <c r="D109" s="189"/>
      <c r="E109" s="189"/>
      <c r="F109" s="189"/>
      <c r="G109" s="189"/>
      <c r="H109" s="189"/>
      <c r="I109" s="189"/>
      <c r="J109" s="189"/>
      <c r="K109" s="189"/>
      <c r="L109" s="189"/>
      <c r="M109" s="189"/>
      <c r="N109" s="602">
        <f>IF(AK97=TRUE,AP117,AP132)</f>
        <v>0</v>
      </c>
      <c r="O109" s="602"/>
      <c r="P109" s="602"/>
      <c r="Q109" s="337" t="s">
        <v>45</v>
      </c>
      <c r="R109" s="32"/>
      <c r="S109" s="41"/>
      <c r="T109" s="41"/>
      <c r="U109" s="17"/>
      <c r="V109" s="33"/>
      <c r="W109" s="56"/>
      <c r="X109" s="28"/>
      <c r="Y109" s="28"/>
      <c r="Z109" s="28"/>
      <c r="AA109" s="28"/>
      <c r="AB109" s="28"/>
      <c r="AC109" s="28"/>
      <c r="AD109" s="28"/>
      <c r="AE109" s="28"/>
      <c r="AF109" s="28"/>
      <c r="AG109" s="28"/>
      <c r="AH109" s="28"/>
      <c r="AI109" s="54"/>
      <c r="AJ109" s="53"/>
      <c r="AL109" s="436"/>
      <c r="AM109" s="436"/>
      <c r="AW109" s="390">
        <v>2</v>
      </c>
      <c r="AX109" s="388">
        <v>100</v>
      </c>
      <c r="AY109" s="387">
        <v>4.25</v>
      </c>
      <c r="AZ109" s="387">
        <f>AX109-AX106</f>
        <v>88</v>
      </c>
      <c r="BA109" s="387">
        <f>AY109-AY106</f>
        <v>0.39999999999999991</v>
      </c>
      <c r="BB109" s="399">
        <f>BA109/AZ109</f>
        <v>4.5454545454545444E-3</v>
      </c>
      <c r="BC109" s="381" t="s">
        <v>630</v>
      </c>
      <c r="BD109" s="391">
        <f t="shared" si="0"/>
        <v>0</v>
      </c>
      <c r="BE109" s="391">
        <f>IF(AND(BD88&gt;12,BD88&lt;100),1,0)</f>
        <v>0</v>
      </c>
      <c r="BF109" s="391">
        <f t="shared" si="1"/>
        <v>0</v>
      </c>
      <c r="BG109" s="393">
        <f>AY106+(($BD$88-AX106)*BA109/AZ109)</f>
        <v>3.7954545454545454</v>
      </c>
    </row>
    <row r="110" spans="2:59" ht="15" x14ac:dyDescent="0.25">
      <c r="B110" s="28"/>
      <c r="C110" s="28"/>
      <c r="D110" s="28"/>
      <c r="E110" s="28"/>
      <c r="F110" s="28"/>
      <c r="G110" s="28"/>
      <c r="H110" s="17"/>
      <c r="I110" s="17"/>
      <c r="J110" s="17"/>
      <c r="K110" s="17"/>
      <c r="L110" s="16"/>
      <c r="M110" s="16"/>
      <c r="N110" s="16"/>
      <c r="O110" s="28"/>
      <c r="P110" s="54"/>
      <c r="Q110" s="29"/>
      <c r="R110" s="28"/>
      <c r="S110" s="54"/>
      <c r="T110" s="28"/>
      <c r="U110" s="28"/>
      <c r="V110" s="28"/>
      <c r="W110" s="28"/>
      <c r="X110" s="28"/>
      <c r="Y110" s="28"/>
      <c r="Z110" s="28"/>
      <c r="AA110" s="28"/>
      <c r="AB110" s="28"/>
      <c r="AC110" s="28"/>
      <c r="AD110" s="28"/>
      <c r="AE110" s="28"/>
      <c r="AF110" s="28"/>
      <c r="AG110" s="28"/>
      <c r="AH110" s="28"/>
      <c r="AJ110" s="53"/>
      <c r="AO110" s="221" t="s">
        <v>314</v>
      </c>
      <c r="AP110" s="221"/>
      <c r="AQ110" s="221"/>
      <c r="AW110" s="390">
        <v>2</v>
      </c>
      <c r="AX110" s="388"/>
      <c r="AY110" s="387"/>
      <c r="AZ110" s="387"/>
      <c r="BA110" s="387"/>
      <c r="BB110" s="399"/>
      <c r="BC110" s="381" t="s">
        <v>631</v>
      </c>
      <c r="BD110" s="391">
        <f t="shared" si="0"/>
        <v>0</v>
      </c>
      <c r="BE110" s="391">
        <f>IF(BD88=100,1,0)</f>
        <v>0</v>
      </c>
      <c r="BF110" s="391">
        <f t="shared" si="1"/>
        <v>0</v>
      </c>
      <c r="BG110" s="393">
        <v>4.25</v>
      </c>
    </row>
    <row r="111" spans="2:59" ht="15" customHeight="1" x14ac:dyDescent="0.25">
      <c r="B111" s="93" t="s">
        <v>295</v>
      </c>
      <c r="C111" s="28"/>
      <c r="D111" s="17"/>
      <c r="E111" s="17"/>
      <c r="F111" s="17"/>
      <c r="G111" s="17"/>
      <c r="H111" s="56"/>
      <c r="I111" s="56"/>
      <c r="J111" s="56"/>
      <c r="K111" s="56"/>
      <c r="L111" s="55"/>
      <c r="M111" s="55"/>
      <c r="N111" s="55"/>
      <c r="O111" s="54"/>
      <c r="P111" s="54"/>
      <c r="Q111" s="54"/>
      <c r="R111" s="28"/>
      <c r="S111" s="54"/>
      <c r="T111" s="28"/>
      <c r="U111" s="28"/>
      <c r="V111" s="28"/>
      <c r="W111" s="28"/>
      <c r="X111" s="28"/>
      <c r="Y111" s="28"/>
      <c r="Z111" s="28"/>
      <c r="AA111" s="28"/>
      <c r="AB111" s="28"/>
      <c r="AC111" s="28"/>
      <c r="AD111" s="28"/>
      <c r="AE111" s="28"/>
      <c r="AF111" s="28"/>
      <c r="AG111" s="28"/>
      <c r="AH111" s="28"/>
      <c r="AK111" s="488" t="s">
        <v>310</v>
      </c>
      <c r="AL111" s="488"/>
      <c r="AM111" s="488"/>
      <c r="AO111" s="264" t="s">
        <v>303</v>
      </c>
      <c r="AP111" s="331">
        <f>IF(N96&gt;0,U119*1000/N96,0)</f>
        <v>0</v>
      </c>
      <c r="AQ111" s="208" t="s">
        <v>305</v>
      </c>
      <c r="AW111" s="390">
        <v>2</v>
      </c>
      <c r="AX111" s="388">
        <v>300</v>
      </c>
      <c r="AY111" s="387">
        <v>4.6500000000000004</v>
      </c>
      <c r="AZ111" s="387">
        <f>AX111-AX109</f>
        <v>200</v>
      </c>
      <c r="BA111" s="387">
        <f>AY111-AY109</f>
        <v>0.40000000000000036</v>
      </c>
      <c r="BB111" s="399">
        <f t="shared" ref="BB111:BB115" si="4">BA111/AZ111</f>
        <v>2.0000000000000018E-3</v>
      </c>
      <c r="BC111" s="381" t="s">
        <v>632</v>
      </c>
      <c r="BD111" s="391">
        <f t="shared" si="0"/>
        <v>0</v>
      </c>
      <c r="BE111" s="391">
        <f>IF(AND(BD88&gt;100,BD88&lt;300),1,0)</f>
        <v>0</v>
      </c>
      <c r="BF111" s="391">
        <f t="shared" si="1"/>
        <v>0</v>
      </c>
      <c r="BG111" s="393">
        <f>AY109+(($BD$88-AX109)*BA111/AZ111)</f>
        <v>4.05</v>
      </c>
    </row>
    <row r="112" spans="2:59" ht="15.75" customHeight="1" x14ac:dyDescent="0.25">
      <c r="B112" s="677" t="s">
        <v>261</v>
      </c>
      <c r="C112" s="677"/>
      <c r="D112" s="677"/>
      <c r="E112" s="677"/>
      <c r="F112" s="677"/>
      <c r="G112" s="677"/>
      <c r="H112" s="677"/>
      <c r="I112" s="677"/>
      <c r="J112" s="677"/>
      <c r="K112" s="677"/>
      <c r="L112" s="677"/>
      <c r="M112" s="677"/>
      <c r="N112" s="677"/>
      <c r="O112" s="677"/>
      <c r="P112" s="677"/>
      <c r="Q112" s="677"/>
      <c r="R112" s="677"/>
      <c r="S112" s="677"/>
      <c r="T112" s="677"/>
      <c r="U112" s="677"/>
      <c r="V112" s="28"/>
      <c r="W112" s="28"/>
      <c r="X112" s="28"/>
      <c r="Y112" s="28"/>
      <c r="Z112" s="28"/>
      <c r="AA112" s="28"/>
      <c r="AB112" s="28"/>
      <c r="AC112" s="28"/>
      <c r="AD112" s="28"/>
      <c r="AE112" s="28"/>
      <c r="AF112" s="28"/>
      <c r="AG112" s="28"/>
      <c r="AH112" s="28"/>
      <c r="AK112" s="223">
        <f>IF(AND(AK97=TRUE,AP112&lt;&gt;0),AP118,AP117)</f>
        <v>0</v>
      </c>
      <c r="AL112" s="208" t="s">
        <v>45</v>
      </c>
      <c r="AM112" s="208" t="s">
        <v>306</v>
      </c>
      <c r="AO112" s="212" t="s">
        <v>321</v>
      </c>
      <c r="AP112" s="331">
        <f>IF(AP111-12&lt;0,0,AP111-12)</f>
        <v>0</v>
      </c>
      <c r="AQ112" s="208" t="s">
        <v>305</v>
      </c>
      <c r="AW112" s="390">
        <v>2</v>
      </c>
      <c r="AX112" s="388"/>
      <c r="AY112" s="387"/>
      <c r="AZ112" s="387"/>
      <c r="BA112" s="387"/>
      <c r="BB112" s="399"/>
      <c r="BC112" s="381" t="s">
        <v>633</v>
      </c>
      <c r="BD112" s="391">
        <f t="shared" si="0"/>
        <v>0</v>
      </c>
      <c r="BE112" s="391">
        <f>IF(BD88=300,1,0)</f>
        <v>0</v>
      </c>
      <c r="BF112" s="391">
        <f t="shared" si="1"/>
        <v>0</v>
      </c>
      <c r="BG112" s="393">
        <v>4.6500000000000004</v>
      </c>
    </row>
    <row r="113" spans="1:59" ht="15.75" customHeight="1" x14ac:dyDescent="0.25">
      <c r="B113" s="676" t="s">
        <v>261</v>
      </c>
      <c r="C113" s="676"/>
      <c r="D113" s="676"/>
      <c r="E113" s="676"/>
      <c r="F113" s="676"/>
      <c r="G113" s="676"/>
      <c r="H113" s="676"/>
      <c r="I113" s="676"/>
      <c r="J113" s="676"/>
      <c r="K113" s="676"/>
      <c r="L113" s="676"/>
      <c r="M113" s="676"/>
      <c r="N113" s="676"/>
      <c r="O113" s="676"/>
      <c r="P113" s="676"/>
      <c r="Q113" s="676"/>
      <c r="R113" s="676"/>
      <c r="S113" s="676"/>
      <c r="T113" s="676"/>
      <c r="U113" s="676"/>
      <c r="V113" s="251"/>
      <c r="W113" s="251"/>
      <c r="X113" s="251"/>
      <c r="Y113" s="251"/>
      <c r="Z113" s="251"/>
      <c r="AA113" s="251"/>
      <c r="AB113" s="251"/>
      <c r="AC113" s="251"/>
      <c r="AD113" s="251"/>
      <c r="AE113" s="251"/>
      <c r="AF113" s="251"/>
      <c r="AG113" s="251"/>
      <c r="AH113" s="28"/>
      <c r="AK113" s="212">
        <f>IF(AK97=TRUE,AP119,0)</f>
        <v>0</v>
      </c>
      <c r="AL113" s="208" t="s">
        <v>45</v>
      </c>
      <c r="AM113" s="208" t="s">
        <v>307</v>
      </c>
      <c r="AO113" s="212" t="s">
        <v>315</v>
      </c>
      <c r="AP113" s="335" t="e">
        <f>AR113*AP112</f>
        <v>#DIV/0!</v>
      </c>
      <c r="AQ113" s="208" t="s">
        <v>305</v>
      </c>
      <c r="AR113" s="333" t="e">
        <f>AK102/(AK102+AL102)</f>
        <v>#DIV/0!</v>
      </c>
      <c r="AW113" s="390">
        <v>2</v>
      </c>
      <c r="AX113" s="388">
        <v>600</v>
      </c>
      <c r="AY113" s="387">
        <v>5.05</v>
      </c>
      <c r="AZ113" s="387">
        <f>AX113-AX111</f>
        <v>300</v>
      </c>
      <c r="BA113" s="387">
        <f>AY113-AY111</f>
        <v>0.39999999999999947</v>
      </c>
      <c r="BB113" s="399">
        <f t="shared" si="4"/>
        <v>1.3333333333333316E-3</v>
      </c>
      <c r="BC113" s="381" t="s">
        <v>634</v>
      </c>
      <c r="BD113" s="391">
        <f t="shared" si="0"/>
        <v>0</v>
      </c>
      <c r="BE113" s="391">
        <f>IF(AND(BD88&gt;300,BD88&lt;600),1,0)</f>
        <v>0</v>
      </c>
      <c r="BF113" s="391">
        <f t="shared" si="1"/>
        <v>0</v>
      </c>
      <c r="BG113" s="393">
        <f>AY111+(($BD$88-AX111)*BA113/AZ113)</f>
        <v>4.2500000000000009</v>
      </c>
    </row>
    <row r="114" spans="1:59" ht="18.600000000000001" customHeight="1" x14ac:dyDescent="0.25">
      <c r="B114" s="311" t="str">
        <f>IF(B112=AO84,"",IF(L117&lt;&gt;0,IF(L117&lt;L115,"La machine n'est pas conforme à l'état de la technique, couverture d'électricité requise avec majoration ratio EER (pour habitat dès &gt;12W/m2).",""),""))</f>
        <v/>
      </c>
      <c r="C114" s="297"/>
      <c r="D114" s="297"/>
      <c r="E114" s="297"/>
      <c r="F114" s="297"/>
      <c r="G114" s="297"/>
      <c r="H114" s="297"/>
      <c r="I114" s="297"/>
      <c r="J114" s="297"/>
      <c r="K114" s="297"/>
      <c r="L114" s="297"/>
      <c r="M114" s="297"/>
      <c r="N114" s="297"/>
      <c r="O114" s="297"/>
      <c r="P114" s="297"/>
      <c r="Q114" s="297"/>
      <c r="R114" s="297"/>
      <c r="S114" s="57"/>
      <c r="T114" s="251"/>
      <c r="U114" s="251"/>
      <c r="V114" s="251"/>
      <c r="W114" s="251"/>
      <c r="X114" s="251"/>
      <c r="Y114" s="251"/>
      <c r="Z114" s="251"/>
      <c r="AA114" s="251"/>
      <c r="AB114" s="251"/>
      <c r="AC114" s="251"/>
      <c r="AD114" s="251"/>
      <c r="AE114" s="251"/>
      <c r="AF114" s="251"/>
      <c r="AG114" s="251"/>
      <c r="AH114" s="28"/>
      <c r="AK114" s="223">
        <f>IF(AK97=FALSE,AP133,0)</f>
        <v>0</v>
      </c>
      <c r="AL114" s="219" t="s">
        <v>45</v>
      </c>
      <c r="AM114" s="208" t="s">
        <v>308</v>
      </c>
      <c r="AO114" s="212" t="s">
        <v>316</v>
      </c>
      <c r="AP114" s="335" t="e">
        <f>AR114*AP112</f>
        <v>#DIV/0!</v>
      </c>
      <c r="AQ114" s="208" t="s">
        <v>305</v>
      </c>
      <c r="AR114" s="334" t="e">
        <f>1-AR113</f>
        <v>#DIV/0!</v>
      </c>
      <c r="AW114" s="390">
        <v>2</v>
      </c>
      <c r="AX114" s="388"/>
      <c r="AY114" s="387"/>
      <c r="AZ114" s="387"/>
      <c r="BA114" s="387"/>
      <c r="BB114" s="399"/>
      <c r="BC114" s="381" t="s">
        <v>635</v>
      </c>
      <c r="BD114" s="391">
        <f t="shared" si="0"/>
        <v>0</v>
      </c>
      <c r="BE114" s="391">
        <f>IF(BD88=600,1,0)</f>
        <v>0</v>
      </c>
      <c r="BF114" s="391">
        <f t="shared" si="1"/>
        <v>0</v>
      </c>
      <c r="BG114" s="393">
        <v>5.05</v>
      </c>
    </row>
    <row r="115" spans="1:59" ht="20.100000000000001" customHeight="1" x14ac:dyDescent="0.25">
      <c r="A115" s="39"/>
      <c r="B115" s="191" t="s">
        <v>639</v>
      </c>
      <c r="C115" s="48"/>
      <c r="D115" s="28"/>
      <c r="E115" s="198"/>
      <c r="F115" s="28"/>
      <c r="G115" s="48"/>
      <c r="H115" s="39"/>
      <c r="I115" s="28"/>
      <c r="J115" s="28"/>
      <c r="K115" s="28"/>
      <c r="L115" s="678" t="str">
        <f>IFERROR(BD89,"")</f>
        <v/>
      </c>
      <c r="M115" s="678"/>
      <c r="N115" s="678"/>
      <c r="O115" s="57"/>
      <c r="P115" s="340">
        <f>IF(N100&lt;&gt;0,IF(B113="","Choisir une machine !",""),0)</f>
        <v>0</v>
      </c>
      <c r="Q115" s="57"/>
      <c r="R115" s="28"/>
      <c r="S115" s="39"/>
      <c r="T115" s="28"/>
      <c r="U115" s="28"/>
      <c r="V115" s="251"/>
      <c r="W115" s="251"/>
      <c r="X115" s="251"/>
      <c r="Y115" s="251"/>
      <c r="Z115" s="28"/>
      <c r="AA115" s="28"/>
      <c r="AB115" s="28"/>
      <c r="AC115" s="28"/>
      <c r="AD115" s="28"/>
      <c r="AE115" s="28"/>
      <c r="AF115" s="28"/>
      <c r="AG115" s="28"/>
      <c r="AH115" s="28"/>
      <c r="AJ115" s="53"/>
      <c r="AK115" s="212">
        <f>IF(AK97=FALSE,AP134,0)</f>
        <v>0</v>
      </c>
      <c r="AL115" s="208" t="s">
        <v>45</v>
      </c>
      <c r="AM115" s="208" t="s">
        <v>309</v>
      </c>
      <c r="AO115" s="264" t="s">
        <v>332</v>
      </c>
      <c r="AP115" s="343">
        <f>IFERROR(1-(L117/L115),0)</f>
        <v>0</v>
      </c>
      <c r="AQ115" s="342"/>
      <c r="AR115" s="219"/>
      <c r="AW115" s="390">
        <v>2</v>
      </c>
      <c r="AX115" s="388">
        <v>1000</v>
      </c>
      <c r="AY115" s="387">
        <v>5.5</v>
      </c>
      <c r="AZ115" s="387">
        <f t="shared" ref="AZ115:BA115" si="5">AX115-AX113</f>
        <v>400</v>
      </c>
      <c r="BA115" s="387">
        <f t="shared" si="5"/>
        <v>0.45000000000000018</v>
      </c>
      <c r="BB115" s="399">
        <f t="shared" si="4"/>
        <v>1.1250000000000003E-3</v>
      </c>
      <c r="BC115" s="381" t="s">
        <v>636</v>
      </c>
      <c r="BD115" s="391">
        <f t="shared" si="0"/>
        <v>0</v>
      </c>
      <c r="BE115" s="391">
        <f>IF(AND(BD88&gt;600,BE111&lt;1000),1,0)</f>
        <v>0</v>
      </c>
      <c r="BF115" s="391">
        <f t="shared" si="1"/>
        <v>0</v>
      </c>
      <c r="BG115" s="393">
        <f>AY113+(($BD$88-AX113)*BA115/AZ115)</f>
        <v>4.375</v>
      </c>
    </row>
    <row r="116" spans="1:59" ht="15.75" x14ac:dyDescent="0.25">
      <c r="A116" s="39"/>
      <c r="B116" s="191"/>
      <c r="C116" s="48"/>
      <c r="D116" s="28"/>
      <c r="E116" s="198"/>
      <c r="F116" s="28"/>
      <c r="G116" s="48"/>
      <c r="H116" s="39"/>
      <c r="I116" s="28"/>
      <c r="J116" s="28"/>
      <c r="K116" s="28"/>
      <c r="L116" s="679"/>
      <c r="M116" s="679"/>
      <c r="N116" s="679"/>
      <c r="O116" s="57"/>
      <c r="P116" s="340"/>
      <c r="Q116" s="57"/>
      <c r="R116" s="28"/>
      <c r="S116" s="39"/>
      <c r="T116" s="28"/>
      <c r="U116" s="28"/>
      <c r="V116" s="251"/>
      <c r="W116" s="251"/>
      <c r="X116" s="251"/>
      <c r="Y116" s="251"/>
      <c r="Z116" s="28"/>
      <c r="AA116" s="28"/>
      <c r="AB116" s="28"/>
      <c r="AC116" s="28"/>
      <c r="AD116" s="28"/>
      <c r="AE116" s="28"/>
      <c r="AF116" s="28"/>
      <c r="AG116" s="28"/>
      <c r="AH116" s="28"/>
      <c r="AJ116" s="53"/>
      <c r="AK116" s="332">
        <f>IF(AK97=TRUE,SUM(AK112:AK113),SUM(AK114:AK115))</f>
        <v>0</v>
      </c>
      <c r="AL116" s="221" t="s">
        <v>45</v>
      </c>
      <c r="AM116" s="221" t="s">
        <v>311</v>
      </c>
      <c r="AO116" s="208" t="s">
        <v>333</v>
      </c>
      <c r="AP116" s="273">
        <f>IF(AP115&gt;0,1,2)</f>
        <v>2</v>
      </c>
      <c r="AQ116" s="208" t="s">
        <v>319</v>
      </c>
      <c r="AW116" s="390">
        <v>2</v>
      </c>
      <c r="AX116" s="388"/>
      <c r="AY116" s="387"/>
      <c r="AZ116" s="387"/>
      <c r="BA116" s="387"/>
      <c r="BB116" s="399"/>
      <c r="BC116" s="381" t="s">
        <v>637</v>
      </c>
      <c r="BD116" s="391">
        <f t="shared" si="0"/>
        <v>0</v>
      </c>
      <c r="BE116" s="391">
        <f>IF(BD88=1000,1,0)</f>
        <v>0</v>
      </c>
      <c r="BF116" s="391">
        <f t="shared" si="1"/>
        <v>0</v>
      </c>
      <c r="BG116" s="393">
        <v>5.5</v>
      </c>
    </row>
    <row r="117" spans="1:59" ht="15" x14ac:dyDescent="0.25">
      <c r="B117" s="300" t="s">
        <v>323</v>
      </c>
      <c r="C117" s="299"/>
      <c r="D117" s="301"/>
      <c r="E117" s="299"/>
      <c r="F117" s="299"/>
      <c r="G117" s="298"/>
      <c r="H117" s="301"/>
      <c r="I117" s="301"/>
      <c r="J117" s="301"/>
      <c r="K117" s="302"/>
      <c r="L117" s="601"/>
      <c r="M117" s="601"/>
      <c r="N117" s="601"/>
      <c r="O117" s="301"/>
      <c r="P117" s="301"/>
      <c r="Q117" s="303"/>
      <c r="R117" s="301"/>
      <c r="S117" s="301"/>
      <c r="T117" s="301"/>
      <c r="U117" s="301"/>
      <c r="V117" s="304"/>
      <c r="W117" s="304"/>
      <c r="X117" s="304"/>
      <c r="Y117" s="304"/>
      <c r="Z117" s="301"/>
      <c r="AA117" s="301"/>
      <c r="AB117" s="301"/>
      <c r="AC117" s="301"/>
      <c r="AD117" s="301"/>
      <c r="AE117" s="301"/>
      <c r="AF117" s="301"/>
      <c r="AG117" s="301"/>
      <c r="AH117" s="301"/>
      <c r="AO117" s="208" t="s">
        <v>337</v>
      </c>
      <c r="AP117" s="435">
        <f>IFERROR(IF(AND(AK106=300,B107=AK135),0,IF(AND(AK106&lt;&gt;0,B107=AK134),(VLOOKUP(B106,AK124:AM129,3,FALSE)*N100),IF(AND(AK106&lt;&gt;0,B107=AK135),(VLOOKUP(B106,AK124:AM129,3,FALSE)*N100),0))),0)</f>
        <v>0</v>
      </c>
      <c r="AQ117" s="208" t="s">
        <v>216</v>
      </c>
      <c r="AW117" s="390">
        <v>2</v>
      </c>
      <c r="AX117" s="387"/>
      <c r="AY117" s="387"/>
      <c r="AZ117" s="387"/>
      <c r="BA117" s="387"/>
      <c r="BB117" s="399"/>
      <c r="BC117" s="381" t="s">
        <v>638</v>
      </c>
      <c r="BD117" s="391">
        <f t="shared" si="0"/>
        <v>0</v>
      </c>
      <c r="BE117" s="391">
        <f>IF(BD88&gt;1000,1,0)</f>
        <v>0</v>
      </c>
      <c r="BF117" s="391">
        <f t="shared" si="1"/>
        <v>0</v>
      </c>
      <c r="BG117" s="392">
        <v>5.5</v>
      </c>
    </row>
    <row r="118" spans="1:59" ht="15" x14ac:dyDescent="0.25">
      <c r="C118" s="48"/>
      <c r="D118" s="49"/>
      <c r="E118" s="49"/>
      <c r="G118" s="48"/>
      <c r="H118" s="48"/>
      <c r="I118" s="48"/>
      <c r="J118" s="28"/>
      <c r="K118" s="28"/>
      <c r="L118" s="19"/>
      <c r="M118" s="143"/>
      <c r="N118" s="143"/>
      <c r="O118" s="143"/>
      <c r="P118" s="28"/>
      <c r="Q118" s="28"/>
      <c r="R118" s="28"/>
      <c r="S118" s="28"/>
      <c r="T118" s="30"/>
      <c r="U118" s="30"/>
      <c r="V118" s="17"/>
      <c r="W118" s="17"/>
      <c r="X118" s="17"/>
      <c r="Y118" s="17"/>
      <c r="Z118" s="17"/>
      <c r="AA118" s="17"/>
      <c r="AB118" s="44"/>
      <c r="AC118" s="110"/>
      <c r="AD118" s="110"/>
      <c r="AE118" s="110"/>
      <c r="AF118" s="71"/>
      <c r="AG118" s="71"/>
      <c r="AH118" s="17"/>
      <c r="AK118" s="433" t="b">
        <f>IF(B107="PAC rév. dans habitat sans éléments actifs supplémentaires d’émission de froid",TRUE,FALSE)</f>
        <v>0</v>
      </c>
      <c r="AO118" s="329" t="s">
        <v>302</v>
      </c>
      <c r="AP118" s="330">
        <f>IF(AK118=1,(AP113*N96/1000*1000)+AP117,IF(AP116=1,((AK102*AP115)+AP117),0+AP117))</f>
        <v>0</v>
      </c>
      <c r="AQ118" s="221" t="s">
        <v>45</v>
      </c>
      <c r="AW118" s="390">
        <v>3</v>
      </c>
      <c r="AX118" s="388">
        <v>12</v>
      </c>
      <c r="AY118" s="387">
        <v>2.9</v>
      </c>
      <c r="AZ118" s="387"/>
      <c r="BA118" s="387"/>
      <c r="BB118" s="399"/>
      <c r="BC118" s="381" t="s">
        <v>628</v>
      </c>
      <c r="BD118" s="391">
        <f t="shared" si="0"/>
        <v>0</v>
      </c>
      <c r="BE118" s="391">
        <f>IF(BD88&lt;12,1,0)</f>
        <v>1</v>
      </c>
      <c r="BF118" s="391">
        <f t="shared" si="1"/>
        <v>1</v>
      </c>
      <c r="BG118" s="392">
        <v>2.9</v>
      </c>
    </row>
    <row r="119" spans="1:59" ht="15.75" x14ac:dyDescent="0.25">
      <c r="B119" s="251"/>
      <c r="C119" s="251"/>
      <c r="D119" s="251"/>
      <c r="E119" s="251"/>
      <c r="F119" s="251"/>
      <c r="G119" s="251"/>
      <c r="H119" s="251"/>
      <c r="I119" s="251"/>
      <c r="J119" s="28" t="s">
        <v>61</v>
      </c>
      <c r="K119" s="28"/>
      <c r="L119" s="251"/>
      <c r="M119" s="28"/>
      <c r="N119" s="28"/>
      <c r="O119" s="28"/>
      <c r="P119" s="28"/>
      <c r="Q119" s="28"/>
      <c r="R119" s="28"/>
      <c r="S119" s="28"/>
      <c r="T119" s="28"/>
      <c r="U119" s="493">
        <f>N100+AE100</f>
        <v>0</v>
      </c>
      <c r="V119" s="493"/>
      <c r="W119" s="97" t="s">
        <v>43</v>
      </c>
      <c r="X119" s="18"/>
      <c r="Y119" s="492" t="str">
        <f>IF(AND(N100&lt;&gt;0,L117="",B113&lt;&gt;AO102),"Le calcul n'est pas valable, compléter le EER de la machine foid !","")</f>
        <v/>
      </c>
      <c r="Z119" s="492"/>
      <c r="AA119" s="492"/>
      <c r="AB119" s="492"/>
      <c r="AC119" s="492"/>
      <c r="AD119" s="492"/>
      <c r="AE119" s="492"/>
      <c r="AF119" s="492"/>
      <c r="AG119" s="492"/>
      <c r="AH119" s="492"/>
      <c r="AK119" s="433" t="str">
        <f>IF(AK97=TRUE,"","PAS habitat")</f>
        <v>PAS habitat</v>
      </c>
      <c r="AL119" s="219"/>
      <c r="AO119" s="329" t="s">
        <v>320</v>
      </c>
      <c r="AP119" s="330" t="e">
        <f>(AP114*N96*1000/1000)</f>
        <v>#DIV/0!</v>
      </c>
      <c r="AQ119" s="221" t="s">
        <v>45</v>
      </c>
      <c r="AW119" s="390">
        <v>3</v>
      </c>
      <c r="AX119" s="388"/>
      <c r="AY119" s="387"/>
      <c r="AZ119" s="387"/>
      <c r="BA119" s="387"/>
      <c r="BB119" s="399"/>
      <c r="BC119" s="381" t="s">
        <v>629</v>
      </c>
      <c r="BD119" s="391">
        <f t="shared" si="0"/>
        <v>0</v>
      </c>
      <c r="BE119" s="391">
        <f>IF(BD88=12,1,0)</f>
        <v>0</v>
      </c>
      <c r="BF119" s="391">
        <f t="shared" si="1"/>
        <v>0</v>
      </c>
      <c r="BG119" s="392">
        <v>2.9</v>
      </c>
    </row>
    <row r="120" spans="1:59" ht="15.75" customHeight="1" x14ac:dyDescent="0.25">
      <c r="B120" s="251"/>
      <c r="C120" s="251"/>
      <c r="D120" s="251"/>
      <c r="E120" s="251"/>
      <c r="F120" s="251"/>
      <c r="G120" s="251"/>
      <c r="H120" s="251"/>
      <c r="I120" s="251"/>
      <c r="J120" s="115" t="s">
        <v>294</v>
      </c>
      <c r="K120" s="28"/>
      <c r="L120" s="251"/>
      <c r="M120" s="28"/>
      <c r="N120" s="114"/>
      <c r="O120" s="114"/>
      <c r="P120" s="114"/>
      <c r="Q120" s="114"/>
      <c r="R120" s="114"/>
      <c r="S120" s="114"/>
      <c r="T120" s="251"/>
      <c r="U120" s="491" t="str">
        <f>IF(N96&gt;0,U119*1000/N96,"")</f>
        <v/>
      </c>
      <c r="V120" s="491"/>
      <c r="W120" s="97" t="s">
        <v>114</v>
      </c>
      <c r="X120" s="296"/>
      <c r="Y120" s="492"/>
      <c r="Z120" s="492"/>
      <c r="AA120" s="492"/>
      <c r="AB120" s="492"/>
      <c r="AC120" s="492"/>
      <c r="AD120" s="492"/>
      <c r="AE120" s="492"/>
      <c r="AF120" s="492"/>
      <c r="AG120" s="492"/>
      <c r="AH120" s="492"/>
      <c r="AL120" s="219"/>
      <c r="AW120" s="390">
        <v>3</v>
      </c>
      <c r="AX120" s="388">
        <v>100</v>
      </c>
      <c r="AY120" s="387">
        <v>3.1</v>
      </c>
      <c r="AZ120" s="387">
        <f>AX120-AX118</f>
        <v>88</v>
      </c>
      <c r="BA120" s="387">
        <f>AY120-AY118</f>
        <v>0.20000000000000018</v>
      </c>
      <c r="BB120" s="399">
        <f>BA120/AZ120</f>
        <v>2.2727272727272748E-3</v>
      </c>
      <c r="BC120" s="381" t="s">
        <v>630</v>
      </c>
      <c r="BD120" s="391">
        <f t="shared" si="0"/>
        <v>0</v>
      </c>
      <c r="BE120" s="391">
        <f>IF(AND(BD88&gt;12,BD88&lt;100),1,0)</f>
        <v>0</v>
      </c>
      <c r="BF120" s="391">
        <f t="shared" si="1"/>
        <v>0</v>
      </c>
      <c r="BG120" s="393">
        <f>AY118+(($BD$88-AX118)*BA120/AZ120)</f>
        <v>2.8727272727272726</v>
      </c>
    </row>
    <row r="121" spans="1:59" ht="8.1" customHeight="1" x14ac:dyDescent="0.25">
      <c r="B121" s="251"/>
      <c r="C121" s="251"/>
      <c r="D121" s="251"/>
      <c r="E121" s="251"/>
      <c r="F121" s="251"/>
      <c r="G121" s="251"/>
      <c r="H121" s="251"/>
      <c r="I121" s="251"/>
      <c r="J121" s="251"/>
      <c r="K121" s="115"/>
      <c r="L121" s="251"/>
      <c r="M121" s="28"/>
      <c r="N121" s="114"/>
      <c r="O121" s="114"/>
      <c r="P121" s="114"/>
      <c r="Q121" s="114"/>
      <c r="R121" s="114"/>
      <c r="S121" s="114"/>
      <c r="T121" s="251"/>
      <c r="U121" s="327"/>
      <c r="V121" s="327"/>
      <c r="W121" s="97"/>
      <c r="X121" s="296"/>
      <c r="Y121" s="492"/>
      <c r="Z121" s="492"/>
      <c r="AA121" s="492"/>
      <c r="AB121" s="492"/>
      <c r="AC121" s="492"/>
      <c r="AD121" s="492"/>
      <c r="AE121" s="492"/>
      <c r="AF121" s="492"/>
      <c r="AG121" s="492"/>
      <c r="AH121" s="492"/>
      <c r="AL121" s="219"/>
      <c r="AO121" s="209"/>
      <c r="AP121" s="209"/>
      <c r="AQ121" s="209"/>
      <c r="AW121" s="390">
        <v>3</v>
      </c>
      <c r="AX121" s="388"/>
      <c r="AY121" s="387"/>
      <c r="AZ121" s="387"/>
      <c r="BA121" s="387"/>
      <c r="BB121" s="399"/>
      <c r="BC121" s="381" t="s">
        <v>631</v>
      </c>
      <c r="BD121" s="391">
        <f t="shared" si="0"/>
        <v>0</v>
      </c>
      <c r="BE121" s="391">
        <f>IF(BD88=100,1,0)</f>
        <v>0</v>
      </c>
      <c r="BF121" s="391">
        <f t="shared" si="1"/>
        <v>0</v>
      </c>
      <c r="BG121" s="393">
        <v>3.1</v>
      </c>
    </row>
    <row r="122" spans="1:59" ht="15" x14ac:dyDescent="0.25">
      <c r="B122" s="28"/>
      <c r="C122" s="28"/>
      <c r="D122" s="28"/>
      <c r="E122" s="28"/>
      <c r="F122" s="28"/>
      <c r="G122" s="28"/>
      <c r="H122" s="28"/>
      <c r="I122" s="251"/>
      <c r="J122" s="28"/>
      <c r="K122" s="28"/>
      <c r="L122" s="294"/>
      <c r="M122" s="294"/>
      <c r="N122" s="263"/>
      <c r="O122" s="108"/>
      <c r="P122" s="28"/>
      <c r="Q122" s="295"/>
      <c r="R122" s="295"/>
      <c r="S122" s="295"/>
      <c r="T122" s="295"/>
      <c r="U122" s="491"/>
      <c r="V122" s="491"/>
      <c r="W122" s="97"/>
      <c r="X122" s="295"/>
      <c r="Y122" s="492"/>
      <c r="Z122" s="492"/>
      <c r="AA122" s="492"/>
      <c r="AB122" s="492"/>
      <c r="AC122" s="492"/>
      <c r="AD122" s="492"/>
      <c r="AE122" s="492"/>
      <c r="AF122" s="492"/>
      <c r="AG122" s="492"/>
      <c r="AH122" s="492"/>
      <c r="AL122" s="219"/>
      <c r="AO122" s="209"/>
      <c r="AP122" s="209"/>
      <c r="AQ122" s="209"/>
      <c r="AW122" s="390">
        <v>3</v>
      </c>
      <c r="AX122" s="388">
        <v>300</v>
      </c>
      <c r="AY122" s="387">
        <v>3.2</v>
      </c>
      <c r="AZ122" s="387">
        <f>AX122-AX120</f>
        <v>200</v>
      </c>
      <c r="BA122" s="387">
        <f>AY122-AY120</f>
        <v>0.10000000000000009</v>
      </c>
      <c r="BB122" s="399">
        <f t="shared" ref="BB122:BB126" si="6">BA122/AZ122</f>
        <v>5.0000000000000044E-4</v>
      </c>
      <c r="BC122" s="381" t="s">
        <v>632</v>
      </c>
      <c r="BD122" s="391">
        <f t="shared" si="0"/>
        <v>0</v>
      </c>
      <c r="BE122" s="391">
        <f>IF(AND(BD88&gt;100,BD88&lt;300),1,0)</f>
        <v>0</v>
      </c>
      <c r="BF122" s="391">
        <f t="shared" si="1"/>
        <v>0</v>
      </c>
      <c r="BG122" s="393">
        <f>AY120+(($BD$88-AX120)*BA122/AZ122)</f>
        <v>3.05</v>
      </c>
    </row>
    <row r="123" spans="1:59" ht="15" x14ac:dyDescent="0.25">
      <c r="B123" s="28"/>
      <c r="C123" s="28"/>
      <c r="D123" s="28"/>
      <c r="E123" s="28"/>
      <c r="F123" s="28"/>
      <c r="G123" s="28"/>
      <c r="H123" s="28"/>
      <c r="I123" s="251"/>
      <c r="J123" s="28"/>
      <c r="K123" s="28"/>
      <c r="L123" s="294"/>
      <c r="M123" s="294"/>
      <c r="N123" s="263"/>
      <c r="O123" s="108"/>
      <c r="P123" s="28"/>
      <c r="Q123" s="295"/>
      <c r="R123" s="295"/>
      <c r="S123" s="295"/>
      <c r="T123" s="295"/>
      <c r="U123" s="327"/>
      <c r="V123" s="327"/>
      <c r="W123" s="97"/>
      <c r="X123" s="295"/>
      <c r="Y123" s="328"/>
      <c r="Z123" s="328"/>
      <c r="AA123" s="328"/>
      <c r="AB123" s="328"/>
      <c r="AC123" s="328"/>
      <c r="AD123" s="328"/>
      <c r="AE123" s="328"/>
      <c r="AF123" s="328"/>
      <c r="AG123" s="328"/>
      <c r="AH123" s="328"/>
      <c r="AK123" s="221" t="s">
        <v>704</v>
      </c>
      <c r="AO123" s="264"/>
      <c r="AP123" s="312"/>
      <c r="AS123" s="221" t="s">
        <v>705</v>
      </c>
      <c r="AW123" s="390">
        <v>3</v>
      </c>
      <c r="AX123" s="388"/>
      <c r="AY123" s="387"/>
      <c r="AZ123" s="387"/>
      <c r="BA123" s="387"/>
      <c r="BB123" s="399"/>
      <c r="BC123" s="381" t="s">
        <v>633</v>
      </c>
      <c r="BD123" s="391">
        <f t="shared" si="0"/>
        <v>0</v>
      </c>
      <c r="BE123" s="391">
        <f>IF(BD88=300,1,0)</f>
        <v>0</v>
      </c>
      <c r="BF123" s="391">
        <f t="shared" si="1"/>
        <v>0</v>
      </c>
      <c r="BG123" s="393">
        <v>3.2</v>
      </c>
    </row>
    <row r="124" spans="1:59" ht="15" x14ac:dyDescent="0.25">
      <c r="B124" s="54"/>
      <c r="C124" s="48"/>
      <c r="D124" s="49"/>
      <c r="E124" s="49"/>
      <c r="F124" s="49"/>
      <c r="G124" s="48"/>
      <c r="H124" s="48"/>
      <c r="I124" s="48"/>
      <c r="J124" s="28"/>
      <c r="K124" s="115"/>
      <c r="L124" s="19"/>
      <c r="M124" s="143"/>
      <c r="N124" s="143"/>
      <c r="O124" s="143"/>
      <c r="P124" s="28"/>
      <c r="Q124" s="22"/>
      <c r="R124" s="28"/>
      <c r="S124" s="28"/>
      <c r="T124" s="30"/>
      <c r="V124" s="17"/>
      <c r="W124" s="17"/>
      <c r="X124" s="17"/>
      <c r="Y124" s="17"/>
      <c r="Z124" s="17"/>
      <c r="AA124" s="44" t="s">
        <v>440</v>
      </c>
      <c r="AB124" s="28"/>
      <c r="AC124" s="495">
        <f>AK116</f>
        <v>0</v>
      </c>
      <c r="AD124" s="495"/>
      <c r="AE124" s="495"/>
      <c r="AF124" s="496" t="s">
        <v>45</v>
      </c>
      <c r="AG124" s="496"/>
      <c r="AH124" s="17"/>
      <c r="AM124" s="208">
        <v>0</v>
      </c>
      <c r="AU124" s="208">
        <v>0</v>
      </c>
      <c r="AW124" s="390">
        <v>3</v>
      </c>
      <c r="AX124" s="388">
        <v>600</v>
      </c>
      <c r="AY124" s="387">
        <v>3.4</v>
      </c>
      <c r="AZ124" s="387">
        <f>AX124-AX122</f>
        <v>300</v>
      </c>
      <c r="BA124" s="387">
        <f>AY124-AY122</f>
        <v>0.19999999999999973</v>
      </c>
      <c r="BB124" s="399">
        <f t="shared" si="6"/>
        <v>6.6666666666666578E-4</v>
      </c>
      <c r="BC124" s="381" t="s">
        <v>634</v>
      </c>
      <c r="BD124" s="391">
        <f t="shared" si="0"/>
        <v>0</v>
      </c>
      <c r="BE124" s="391">
        <f>IF(AND(BD88&gt;300,BD88&lt;600),1,0)</f>
        <v>0</v>
      </c>
      <c r="BF124" s="391">
        <f t="shared" si="1"/>
        <v>0</v>
      </c>
      <c r="BG124" s="393">
        <f>AY122+(($BD$88-AX122)*BA124/AZ124)</f>
        <v>3.0000000000000004</v>
      </c>
    </row>
    <row r="125" spans="1:59" ht="15.75" thickBot="1" x14ac:dyDescent="0.3">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4"/>
      <c r="AC125" s="88"/>
      <c r="AD125" s="88"/>
      <c r="AE125" s="88"/>
      <c r="AF125" s="88"/>
      <c r="AG125" s="88"/>
      <c r="AH125" s="88"/>
      <c r="AI125" s="77"/>
      <c r="AK125" s="208" t="s">
        <v>210</v>
      </c>
      <c r="AM125" s="212">
        <v>0</v>
      </c>
      <c r="AS125" s="208" t="s">
        <v>210</v>
      </c>
      <c r="AU125" s="212">
        <v>0</v>
      </c>
      <c r="AW125" s="390">
        <v>3</v>
      </c>
      <c r="AX125" s="388"/>
      <c r="AY125" s="387"/>
      <c r="AZ125" s="387"/>
      <c r="BA125" s="387"/>
      <c r="BB125" s="399"/>
      <c r="BC125" s="381" t="s">
        <v>635</v>
      </c>
      <c r="BD125" s="391">
        <f t="shared" si="0"/>
        <v>0</v>
      </c>
      <c r="BE125" s="391">
        <f>IF(BD88=600,1,0)</f>
        <v>0</v>
      </c>
      <c r="BF125" s="391">
        <f t="shared" si="1"/>
        <v>0</v>
      </c>
      <c r="BG125" s="393">
        <v>3.4</v>
      </c>
    </row>
    <row r="126" spans="1:59" ht="15" x14ac:dyDescent="0.2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K126" s="208" t="s">
        <v>340</v>
      </c>
      <c r="AM126" s="257">
        <v>0</v>
      </c>
      <c r="AS126" s="208" t="s">
        <v>340</v>
      </c>
      <c r="AU126" s="257">
        <v>0</v>
      </c>
      <c r="AW126" s="390">
        <v>3</v>
      </c>
      <c r="AX126" s="388">
        <v>1000</v>
      </c>
      <c r="AY126" s="387">
        <v>3.5</v>
      </c>
      <c r="AZ126" s="387">
        <f t="shared" ref="AZ126:BA126" si="7">AX126-AX124</f>
        <v>400</v>
      </c>
      <c r="BA126" s="387">
        <f t="shared" si="7"/>
        <v>0.10000000000000009</v>
      </c>
      <c r="BB126" s="399">
        <f t="shared" si="6"/>
        <v>2.5000000000000022E-4</v>
      </c>
      <c r="BC126" s="381" t="s">
        <v>636</v>
      </c>
      <c r="BD126" s="391">
        <f t="shared" si="0"/>
        <v>0</v>
      </c>
      <c r="BE126" s="391">
        <f>IF(AND(BD88&gt;600,BE122&lt;1000),1,0)</f>
        <v>0</v>
      </c>
      <c r="BF126" s="391">
        <f t="shared" si="1"/>
        <v>0</v>
      </c>
      <c r="BG126" s="393">
        <f>AY124+(($BD$88-AX124)*BA126/AZ126)</f>
        <v>3.25</v>
      </c>
    </row>
    <row r="127" spans="1:59" ht="21.75" customHeight="1" x14ac:dyDescent="0.25">
      <c r="B127" s="324" t="s">
        <v>287</v>
      </c>
      <c r="C127" s="34"/>
      <c r="D127" s="138" t="s">
        <v>282</v>
      </c>
      <c r="E127" s="34"/>
      <c r="F127" s="34"/>
      <c r="G127" s="34"/>
      <c r="H127" s="34"/>
      <c r="I127" s="34"/>
      <c r="J127" s="34"/>
      <c r="K127" s="34"/>
      <c r="L127" s="34"/>
      <c r="M127" s="34"/>
      <c r="N127" s="34"/>
      <c r="O127" s="34"/>
      <c r="P127" s="34"/>
      <c r="Q127" s="34"/>
      <c r="R127" s="34"/>
      <c r="S127" s="34"/>
      <c r="T127" s="34"/>
      <c r="U127" s="34"/>
      <c r="V127" s="34"/>
      <c r="W127" s="34"/>
      <c r="X127" s="34"/>
      <c r="Y127" s="34"/>
      <c r="Z127" s="28"/>
      <c r="AA127" s="28"/>
      <c r="AB127" s="34"/>
      <c r="AC127" s="77"/>
      <c r="AD127" s="77"/>
      <c r="AE127" s="28"/>
      <c r="AF127" s="28"/>
      <c r="AG127" s="28"/>
      <c r="AH127" s="28"/>
      <c r="AK127" s="208" t="s">
        <v>341</v>
      </c>
      <c r="AM127" s="257">
        <v>300</v>
      </c>
      <c r="AO127" s="221" t="s">
        <v>330</v>
      </c>
      <c r="AP127" s="221"/>
      <c r="AQ127" s="221"/>
      <c r="AS127" s="208" t="s">
        <v>341</v>
      </c>
      <c r="AU127" s="257">
        <v>300</v>
      </c>
      <c r="AW127" s="390">
        <v>3</v>
      </c>
      <c r="AX127" s="388"/>
      <c r="AY127" s="387"/>
      <c r="AZ127" s="387"/>
      <c r="BA127" s="387"/>
      <c r="BB127" s="399"/>
      <c r="BC127" s="381" t="s">
        <v>637</v>
      </c>
      <c r="BD127" s="391">
        <f t="shared" si="0"/>
        <v>0</v>
      </c>
      <c r="BE127" s="391">
        <f>IF(BD88=1000,1,0)</f>
        <v>0</v>
      </c>
      <c r="BF127" s="391">
        <f t="shared" si="1"/>
        <v>0</v>
      </c>
      <c r="BG127" s="393">
        <v>3.5</v>
      </c>
    </row>
    <row r="128" spans="1:59" ht="15.75" customHeight="1" x14ac:dyDescent="0.25">
      <c r="B128" s="314" t="s">
        <v>188</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28"/>
      <c r="AA128" s="28"/>
      <c r="AB128" s="28"/>
      <c r="AC128" s="28"/>
      <c r="AD128" s="28"/>
      <c r="AE128" s="28"/>
      <c r="AF128" s="28"/>
      <c r="AG128" s="28"/>
      <c r="AH128" s="28"/>
      <c r="AK128" s="208" t="s">
        <v>342</v>
      </c>
      <c r="AM128" s="257">
        <v>500</v>
      </c>
      <c r="AO128" s="264" t="s">
        <v>303</v>
      </c>
      <c r="AP128" s="331">
        <f>IF(N96&gt;0,U119*1000/N96,0)</f>
        <v>0</v>
      </c>
      <c r="AQ128" s="208" t="s">
        <v>305</v>
      </c>
      <c r="AS128" s="208" t="s">
        <v>342</v>
      </c>
      <c r="AU128" s="257">
        <v>500</v>
      </c>
      <c r="AW128" s="394">
        <v>3</v>
      </c>
      <c r="AX128" s="395"/>
      <c r="AY128" s="395"/>
      <c r="AZ128" s="395"/>
      <c r="BA128" s="395"/>
      <c r="BB128" s="400"/>
      <c r="BC128" s="396" t="s">
        <v>638</v>
      </c>
      <c r="BD128" s="397">
        <f t="shared" si="0"/>
        <v>0</v>
      </c>
      <c r="BE128" s="397">
        <f>IF(BD88&gt;1000,1,0)</f>
        <v>0</v>
      </c>
      <c r="BF128" s="397">
        <f t="shared" si="1"/>
        <v>0</v>
      </c>
      <c r="BG128" s="398">
        <v>3.5</v>
      </c>
    </row>
    <row r="129" spans="1:47" ht="15.75" customHeight="1" x14ac:dyDescent="0.2">
      <c r="B129" s="255"/>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28"/>
      <c r="AA129" s="28"/>
      <c r="AB129" s="28"/>
      <c r="AC129" s="28"/>
      <c r="AD129" s="28"/>
      <c r="AE129" s="28"/>
      <c r="AF129" s="28"/>
      <c r="AG129" s="28"/>
      <c r="AH129" s="28"/>
      <c r="AK129" s="208" t="s">
        <v>343</v>
      </c>
      <c r="AM129" s="257">
        <v>1000</v>
      </c>
      <c r="AO129" s="341" t="s">
        <v>331</v>
      </c>
      <c r="AP129" s="331">
        <f>IF(AP128&gt;12,1,2)</f>
        <v>2</v>
      </c>
      <c r="AQ129" s="208" t="s">
        <v>319</v>
      </c>
      <c r="AS129" s="208" t="s">
        <v>343</v>
      </c>
      <c r="AU129" s="257">
        <v>1000</v>
      </c>
    </row>
    <row r="130" spans="1:47" ht="15.75" customHeight="1" x14ac:dyDescent="0.2">
      <c r="B130" s="77"/>
      <c r="C130" s="77" t="s">
        <v>200</v>
      </c>
      <c r="D130" s="77"/>
      <c r="E130" s="77"/>
      <c r="F130" s="77"/>
      <c r="G130" s="77"/>
      <c r="H130" s="77"/>
      <c r="I130" s="77"/>
      <c r="J130" s="245"/>
      <c r="K130" s="77"/>
      <c r="L130" s="28"/>
      <c r="M130" s="28"/>
      <c r="N130" s="28"/>
      <c r="O130" s="687"/>
      <c r="P130" s="687"/>
      <c r="Q130" s="77" t="s">
        <v>82</v>
      </c>
      <c r="R130" s="77"/>
      <c r="S130" s="30"/>
      <c r="T130" s="30"/>
      <c r="U130" s="28"/>
      <c r="V130" s="28"/>
      <c r="W130" s="28"/>
      <c r="X130" s="28"/>
      <c r="Y130" s="28"/>
      <c r="Z130" s="28"/>
      <c r="AA130" s="28"/>
      <c r="AB130" s="28"/>
      <c r="AC130" s="28"/>
      <c r="AD130" s="28"/>
      <c r="AE130" s="28"/>
      <c r="AF130" s="28"/>
      <c r="AG130" s="28"/>
      <c r="AH130" s="28"/>
      <c r="AO130" s="264" t="s">
        <v>332</v>
      </c>
      <c r="AP130" s="344">
        <f>IFERROR(1-(L117/L115),0)</f>
        <v>0</v>
      </c>
    </row>
    <row r="131" spans="1:47" ht="15" x14ac:dyDescent="0.2">
      <c r="B131" s="77"/>
      <c r="C131" s="77"/>
      <c r="D131" s="77"/>
      <c r="E131" s="77"/>
      <c r="F131" s="77"/>
      <c r="G131" s="77"/>
      <c r="H131" s="77"/>
      <c r="I131" s="77"/>
      <c r="J131" s="245"/>
      <c r="K131" s="77"/>
      <c r="L131" s="253"/>
      <c r="M131" s="253"/>
      <c r="N131" s="77"/>
      <c r="O131" s="77"/>
      <c r="P131" s="253"/>
      <c r="Q131" s="253"/>
      <c r="R131" s="77"/>
      <c r="S131" s="30"/>
      <c r="T131" s="30"/>
      <c r="U131" s="30"/>
      <c r="V131" s="30"/>
      <c r="W131" s="30"/>
      <c r="X131" s="30"/>
      <c r="Y131" s="30"/>
      <c r="Z131" s="28"/>
      <c r="AA131" s="28"/>
      <c r="AB131" s="28"/>
      <c r="AC131" s="28"/>
      <c r="AD131" s="28"/>
      <c r="AE131" s="28"/>
      <c r="AF131" s="28"/>
      <c r="AG131" s="28"/>
      <c r="AH131" s="28"/>
      <c r="AO131" s="208" t="s">
        <v>333</v>
      </c>
      <c r="AP131" s="273">
        <f>IF(AP130&gt;0,1,2)</f>
        <v>2</v>
      </c>
      <c r="AQ131" s="208" t="s">
        <v>319</v>
      </c>
    </row>
    <row r="132" spans="1:47" ht="15" x14ac:dyDescent="0.2">
      <c r="B132" s="199"/>
      <c r="C132" s="77" t="s">
        <v>225</v>
      </c>
      <c r="D132" s="77"/>
      <c r="E132" s="90"/>
      <c r="F132" s="489" t="s">
        <v>175</v>
      </c>
      <c r="G132" s="489"/>
      <c r="H132" s="489" t="s">
        <v>176</v>
      </c>
      <c r="I132" s="489"/>
      <c r="J132" s="489" t="s">
        <v>177</v>
      </c>
      <c r="K132" s="489"/>
      <c r="L132" s="489" t="s">
        <v>182</v>
      </c>
      <c r="M132" s="489"/>
      <c r="N132" s="489" t="s">
        <v>178</v>
      </c>
      <c r="O132" s="489"/>
      <c r="P132" s="489" t="s">
        <v>179</v>
      </c>
      <c r="Q132" s="489"/>
      <c r="R132" s="489" t="s">
        <v>180</v>
      </c>
      <c r="S132" s="489"/>
      <c r="T132" s="489" t="s">
        <v>181</v>
      </c>
      <c r="U132" s="489"/>
      <c r="V132" s="489" t="s">
        <v>183</v>
      </c>
      <c r="W132" s="489"/>
      <c r="X132" s="489" t="s">
        <v>184</v>
      </c>
      <c r="Y132" s="489"/>
      <c r="Z132" s="489" t="s">
        <v>185</v>
      </c>
      <c r="AA132" s="489"/>
      <c r="AB132" s="489" t="s">
        <v>186</v>
      </c>
      <c r="AC132" s="489"/>
      <c r="AD132" s="489" t="s">
        <v>187</v>
      </c>
      <c r="AE132" s="489"/>
      <c r="AF132" s="28"/>
      <c r="AG132" s="28"/>
      <c r="AH132" s="28"/>
      <c r="AK132" s="266" t="s">
        <v>338</v>
      </c>
      <c r="AO132" s="208" t="s">
        <v>337</v>
      </c>
      <c r="AP132" s="273">
        <f>IF(AND(AK106&lt;&gt;0,B107=AK134),(VLOOKUP(B106,AS125:AU129,3,FALSE))*N100,0)</f>
        <v>0</v>
      </c>
      <c r="AQ132" s="208" t="s">
        <v>216</v>
      </c>
    </row>
    <row r="133" spans="1:47" ht="15" x14ac:dyDescent="0.2">
      <c r="B133" s="199"/>
      <c r="C133" s="28"/>
      <c r="D133" s="28"/>
      <c r="E133" s="28"/>
      <c r="F133" s="494"/>
      <c r="G133" s="494"/>
      <c r="H133" s="494"/>
      <c r="I133" s="494"/>
      <c r="J133" s="494"/>
      <c r="K133" s="494"/>
      <c r="L133" s="494"/>
      <c r="M133" s="494"/>
      <c r="N133" s="494"/>
      <c r="O133" s="494"/>
      <c r="P133" s="494"/>
      <c r="Q133" s="494"/>
      <c r="R133" s="494"/>
      <c r="S133" s="494"/>
      <c r="T133" s="494"/>
      <c r="U133" s="494"/>
      <c r="V133" s="494"/>
      <c r="W133" s="494"/>
      <c r="X133" s="494"/>
      <c r="Y133" s="494"/>
      <c r="Z133" s="494"/>
      <c r="AA133" s="494"/>
      <c r="AB133" s="494"/>
      <c r="AC133" s="494"/>
      <c r="AD133" s="675">
        <f>SUM(F133:AC133)</f>
        <v>0</v>
      </c>
      <c r="AE133" s="489"/>
      <c r="AF133" s="497" t="s">
        <v>45</v>
      </c>
      <c r="AG133" s="497"/>
      <c r="AH133" s="497"/>
      <c r="AK133" s="208" t="s">
        <v>210</v>
      </c>
      <c r="AO133" s="329" t="s">
        <v>302</v>
      </c>
      <c r="AP133" s="330">
        <f>IF(AP129=2,(AK102+AP132),IF(AP131=2,(AK102+AP132),(AK102+(AK102*AP130)+AP132)))</f>
        <v>0</v>
      </c>
      <c r="AQ133" s="221" t="s">
        <v>45</v>
      </c>
    </row>
    <row r="134" spans="1:47" ht="15" x14ac:dyDescent="0.2">
      <c r="B134" s="256"/>
      <c r="C134" s="28"/>
      <c r="D134" s="28"/>
      <c r="E134" s="28"/>
      <c r="F134" s="490" t="str">
        <f>IFERROR(F133/$O$130,"")</f>
        <v/>
      </c>
      <c r="G134" s="490"/>
      <c r="H134" s="490" t="str">
        <f>IFERROR(H133/$O$130,"")</f>
        <v/>
      </c>
      <c r="I134" s="490"/>
      <c r="J134" s="490" t="str">
        <f>IFERROR(J133/$O$130,"")</f>
        <v/>
      </c>
      <c r="K134" s="490"/>
      <c r="L134" s="490" t="str">
        <f>IFERROR(L133/$O$130,"")</f>
        <v/>
      </c>
      <c r="M134" s="490"/>
      <c r="N134" s="490" t="str">
        <f>IFERROR(N133/$O$130,"")</f>
        <v/>
      </c>
      <c r="O134" s="490"/>
      <c r="P134" s="490" t="str">
        <f>IFERROR(P133/$O$130,"")</f>
        <v/>
      </c>
      <c r="Q134" s="490"/>
      <c r="R134" s="490" t="str">
        <f>IFERROR(R133/$O$130,"")</f>
        <v/>
      </c>
      <c r="S134" s="490"/>
      <c r="T134" s="490" t="str">
        <f>IFERROR(T133/$O$130,"")</f>
        <v/>
      </c>
      <c r="U134" s="490"/>
      <c r="V134" s="490" t="str">
        <f>IFERROR(V133/$O$130,"")</f>
        <v/>
      </c>
      <c r="W134" s="490"/>
      <c r="X134" s="490" t="str">
        <f>IFERROR(X133/$O$130,"")</f>
        <v/>
      </c>
      <c r="Y134" s="490"/>
      <c r="Z134" s="490" t="str">
        <f>IFERROR(Z133/$O$130,"")</f>
        <v/>
      </c>
      <c r="AA134" s="490"/>
      <c r="AB134" s="490" t="str">
        <f>IFERROR(AB133/$O$130,"")</f>
        <v/>
      </c>
      <c r="AC134" s="490"/>
      <c r="AD134" s="681" t="str">
        <f>IFERROR(AD133/$O$130,"")</f>
        <v/>
      </c>
      <c r="AE134" s="681"/>
      <c r="AF134" s="685" t="s">
        <v>211</v>
      </c>
      <c r="AG134" s="685"/>
      <c r="AH134" s="685"/>
      <c r="AK134" s="209" t="s">
        <v>524</v>
      </c>
      <c r="AO134" s="329" t="s">
        <v>304</v>
      </c>
      <c r="AP134" s="330">
        <f>AL102</f>
        <v>0</v>
      </c>
      <c r="AQ134" s="221" t="s">
        <v>45</v>
      </c>
    </row>
    <row r="135" spans="1:47" x14ac:dyDescent="0.2">
      <c r="B135" s="28"/>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77"/>
      <c r="AF135" s="77"/>
      <c r="AG135" s="77"/>
      <c r="AH135" s="77"/>
      <c r="AI135" s="77"/>
      <c r="AK135" s="209" t="s">
        <v>702</v>
      </c>
    </row>
    <row r="136" spans="1:47" ht="15" x14ac:dyDescent="0.2">
      <c r="A136" s="77"/>
      <c r="B136" s="199" t="s">
        <v>217</v>
      </c>
      <c r="C136" s="268"/>
      <c r="D136" s="271"/>
      <c r="E136" s="199"/>
      <c r="F136" s="270"/>
      <c r="G136" s="256"/>
      <c r="H136" s="256"/>
      <c r="I136" s="256"/>
      <c r="J136" s="256"/>
      <c r="K136" s="684">
        <f>IF(AV158=1,(IF(AD133=0,"?",ROUND(AP165,10))),ROUND(AP165,10))</f>
        <v>0</v>
      </c>
      <c r="L136" s="684"/>
      <c r="M136" s="684"/>
      <c r="N136" s="256" t="s">
        <v>247</v>
      </c>
      <c r="O136" s="269"/>
      <c r="S136" s="269"/>
      <c r="T136" s="256"/>
      <c r="U136" s="256"/>
      <c r="V136" s="256"/>
      <c r="W136" s="256"/>
      <c r="X136" s="256"/>
      <c r="Y136" s="256"/>
      <c r="Z136" s="270"/>
      <c r="AA136" s="270"/>
      <c r="AB136" s="270"/>
      <c r="AC136" s="270"/>
      <c r="AD136" s="270"/>
      <c r="AE136" s="270"/>
      <c r="AF136" s="270"/>
      <c r="AG136" s="270"/>
      <c r="AH136" s="270"/>
      <c r="AI136" s="271"/>
      <c r="AK136" s="209" t="s">
        <v>344</v>
      </c>
      <c r="AN136" s="219"/>
      <c r="AO136" s="264"/>
      <c r="AP136" s="290"/>
    </row>
    <row r="137" spans="1:47" ht="15" x14ac:dyDescent="0.2">
      <c r="A137" s="77"/>
      <c r="B137" s="348" t="str">
        <f>IF(ISBLANK(B106),"Problème de donnée saisie dans le Bloc 3b, formulaire invalide !","")</f>
        <v/>
      </c>
      <c r="C137" s="268"/>
      <c r="D137" s="271"/>
      <c r="E137" s="199"/>
      <c r="F137" s="270"/>
      <c r="G137" s="256"/>
      <c r="H137" s="256"/>
      <c r="I137" s="256"/>
      <c r="J137" s="256"/>
      <c r="K137" s="319" t="str">
        <f>IF(K136="?","Compléter la simulation solaire sur site pour que le calcul puisse s'effectuer","")</f>
        <v/>
      </c>
      <c r="L137" s="318"/>
      <c r="M137" s="318"/>
      <c r="O137" s="271"/>
      <c r="P137" s="28"/>
      <c r="Q137" s="28"/>
      <c r="R137" s="28"/>
      <c r="S137" s="271"/>
      <c r="T137" s="256"/>
      <c r="U137" s="256"/>
      <c r="V137" s="256"/>
      <c r="W137" s="256"/>
      <c r="X137" s="256"/>
      <c r="Y137" s="256"/>
      <c r="Z137" s="270"/>
      <c r="AB137" s="270"/>
      <c r="AC137" s="270"/>
      <c r="AD137" s="270"/>
      <c r="AE137" s="270"/>
      <c r="AF137" s="270"/>
      <c r="AG137" s="270"/>
      <c r="AH137" s="270"/>
      <c r="AI137" s="271"/>
      <c r="AK137" s="209" t="s">
        <v>345</v>
      </c>
      <c r="AO137" s="264"/>
      <c r="AP137" s="262"/>
    </row>
    <row r="138" spans="1:47" x14ac:dyDescent="0.2">
      <c r="B138" s="682" t="s">
        <v>441</v>
      </c>
      <c r="C138" s="682"/>
      <c r="D138" s="682"/>
      <c r="E138" s="682"/>
      <c r="F138" s="682"/>
      <c r="G138" s="682"/>
      <c r="H138" s="682"/>
      <c r="I138" s="682"/>
      <c r="J138" s="682"/>
      <c r="K138" s="682"/>
      <c r="L138" s="682"/>
      <c r="M138" s="682"/>
      <c r="N138" s="682"/>
      <c r="O138" s="682"/>
      <c r="P138" s="682"/>
      <c r="Q138" s="682"/>
      <c r="R138" s="682"/>
      <c r="S138" s="682"/>
      <c r="T138" s="682"/>
      <c r="U138" s="682"/>
      <c r="V138" s="682"/>
      <c r="W138" s="682"/>
      <c r="X138" s="682"/>
      <c r="Y138" s="682"/>
      <c r="Z138" s="682"/>
      <c r="AA138" s="682"/>
      <c r="AB138" s="682"/>
      <c r="AC138" s="682"/>
      <c r="AD138" s="682"/>
      <c r="AE138" s="682"/>
      <c r="AF138" s="682"/>
      <c r="AG138" s="682"/>
      <c r="AH138" s="682"/>
      <c r="AI138" s="77"/>
      <c r="AK138" s="209" t="s">
        <v>346</v>
      </c>
      <c r="AO138" s="264"/>
      <c r="AP138" s="262"/>
    </row>
    <row r="139" spans="1:47" ht="13.5" thickBot="1" x14ac:dyDescent="0.25">
      <c r="B139" s="683"/>
      <c r="C139" s="683"/>
      <c r="D139" s="683"/>
      <c r="E139" s="683"/>
      <c r="F139" s="683"/>
      <c r="G139" s="683"/>
      <c r="H139" s="683"/>
      <c r="I139" s="683"/>
      <c r="J139" s="683"/>
      <c r="K139" s="683"/>
      <c r="L139" s="683"/>
      <c r="M139" s="683"/>
      <c r="N139" s="683"/>
      <c r="O139" s="683"/>
      <c r="P139" s="683"/>
      <c r="Q139" s="683"/>
      <c r="R139" s="683"/>
      <c r="S139" s="683"/>
      <c r="T139" s="683"/>
      <c r="U139" s="683"/>
      <c r="V139" s="683"/>
      <c r="W139" s="683"/>
      <c r="X139" s="683"/>
      <c r="Y139" s="683"/>
      <c r="Z139" s="683"/>
      <c r="AA139" s="683"/>
      <c r="AB139" s="683"/>
      <c r="AC139" s="683"/>
      <c r="AD139" s="683"/>
      <c r="AE139" s="683"/>
      <c r="AF139" s="683"/>
      <c r="AG139" s="683"/>
      <c r="AH139" s="683"/>
      <c r="AI139" s="77"/>
      <c r="AK139" s="209" t="s">
        <v>347</v>
      </c>
      <c r="AO139" s="264"/>
      <c r="AP139" s="312"/>
    </row>
    <row r="140" spans="1:47" ht="14.25" x14ac:dyDescent="0.2">
      <c r="A140" s="77"/>
      <c r="B140" s="270"/>
      <c r="C140" s="270"/>
      <c r="D140" s="270"/>
      <c r="E140" s="270"/>
      <c r="F140" s="270"/>
      <c r="G140" s="270"/>
      <c r="H140" s="270"/>
      <c r="I140" s="270"/>
      <c r="J140" s="270"/>
      <c r="K140" s="270"/>
      <c r="L140" s="270"/>
      <c r="M140" s="270"/>
      <c r="N140" s="270"/>
      <c r="O140" s="270"/>
      <c r="P140" s="270"/>
      <c r="Q140" s="270"/>
      <c r="R140" s="270"/>
      <c r="S140" s="270"/>
      <c r="T140" s="270"/>
      <c r="U140" s="270"/>
      <c r="V140" s="270"/>
      <c r="W140" s="270"/>
      <c r="X140" s="270"/>
      <c r="Y140" s="270"/>
      <c r="Z140" s="270"/>
      <c r="AA140" s="270"/>
      <c r="AB140" s="270"/>
      <c r="AC140" s="270"/>
      <c r="AD140" s="270"/>
      <c r="AE140" s="270"/>
      <c r="AF140" s="270"/>
      <c r="AG140" s="270"/>
      <c r="AH140" s="270"/>
      <c r="AI140" s="271"/>
      <c r="AK140" s="209" t="s">
        <v>348</v>
      </c>
      <c r="AO140" s="209"/>
      <c r="AP140" s="312"/>
    </row>
    <row r="141" spans="1:47" ht="18" x14ac:dyDescent="0.2">
      <c r="A141" s="77"/>
      <c r="B141" s="138" t="s">
        <v>644</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28"/>
      <c r="AA141" s="28"/>
      <c r="AB141" s="28"/>
      <c r="AC141" s="28"/>
      <c r="AD141" s="28"/>
      <c r="AE141" s="28"/>
      <c r="AF141" s="28"/>
      <c r="AG141" s="28"/>
      <c r="AH141" s="270"/>
      <c r="AI141" s="271"/>
      <c r="AK141" s="209" t="s">
        <v>349</v>
      </c>
      <c r="AO141" s="264"/>
      <c r="AP141" s="312"/>
    </row>
    <row r="142" spans="1:47" ht="16.350000000000001" customHeight="1" x14ac:dyDescent="0.2">
      <c r="A142" s="77"/>
      <c r="B142" s="686"/>
      <c r="C142" s="686"/>
      <c r="D142" s="686"/>
      <c r="E142" s="686"/>
      <c r="F142" s="686"/>
      <c r="G142" s="686"/>
      <c r="H142" s="686"/>
      <c r="I142" s="686"/>
      <c r="J142" s="686"/>
      <c r="K142" s="686"/>
      <c r="L142" s="686"/>
      <c r="M142" s="686"/>
      <c r="N142" s="686"/>
      <c r="O142" s="686"/>
      <c r="P142" s="686"/>
      <c r="Q142" s="686"/>
      <c r="R142" s="686"/>
      <c r="S142" s="686"/>
      <c r="T142" s="686"/>
      <c r="U142" s="686"/>
      <c r="V142" s="686"/>
      <c r="W142" s="686"/>
      <c r="X142" s="686"/>
      <c r="Y142" s="686"/>
      <c r="Z142" s="28"/>
      <c r="AA142" s="28"/>
      <c r="AB142" s="28"/>
      <c r="AC142" s="28"/>
      <c r="AD142" s="28"/>
      <c r="AE142" s="28"/>
      <c r="AF142" s="28"/>
      <c r="AG142" s="28"/>
      <c r="AH142" s="270"/>
      <c r="AI142" s="271"/>
      <c r="AO142" s="264"/>
      <c r="AP142" s="312"/>
    </row>
    <row r="143" spans="1:47" ht="15" x14ac:dyDescent="0.2">
      <c r="A143" s="77"/>
      <c r="B143" s="199"/>
      <c r="C143" s="132" t="s">
        <v>146</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28"/>
      <c r="AA143" s="28"/>
      <c r="AB143" s="28"/>
      <c r="AC143" s="28"/>
      <c r="AD143" s="28"/>
      <c r="AE143" s="28"/>
      <c r="AF143" s="28"/>
      <c r="AG143" s="28"/>
      <c r="AH143" s="270"/>
      <c r="AI143" s="271"/>
    </row>
    <row r="144" spans="1:47" ht="15" x14ac:dyDescent="0.2">
      <c r="A144" s="77"/>
      <c r="B144" s="199"/>
      <c r="C144" s="134" t="s">
        <v>659</v>
      </c>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28"/>
      <c r="AA144" s="28"/>
      <c r="AB144" s="28"/>
      <c r="AC144" s="28"/>
      <c r="AD144" s="28"/>
      <c r="AE144" s="28"/>
      <c r="AF144" s="28"/>
      <c r="AG144" s="28"/>
      <c r="AH144" s="270"/>
      <c r="AI144" s="271"/>
      <c r="AJ144" s="208" t="b">
        <v>0</v>
      </c>
      <c r="AL144" s="336" t="s">
        <v>221</v>
      </c>
      <c r="AM144" s="325"/>
      <c r="AN144" s="325"/>
      <c r="AO144" s="325"/>
      <c r="AP144" s="325"/>
      <c r="AQ144" s="326"/>
    </row>
    <row r="145" spans="1:50" ht="15" x14ac:dyDescent="0.2">
      <c r="A145" s="77"/>
      <c r="B145" s="199"/>
      <c r="C145" s="52"/>
      <c r="D145" s="189" t="str">
        <f>IF(AJ144=TRUE,"Compléter l'annexe selon art.59 (voir autre onglet), un préavis du SEFH sera requis","")</f>
        <v/>
      </c>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28"/>
      <c r="AA145" s="28"/>
      <c r="AB145" s="28"/>
      <c r="AC145" s="28"/>
      <c r="AD145" s="28"/>
      <c r="AE145" s="28"/>
      <c r="AF145" s="28"/>
      <c r="AG145" s="28"/>
      <c r="AH145" s="270"/>
      <c r="AI145" s="271"/>
      <c r="AL145" s="275"/>
      <c r="AQ145" s="276"/>
    </row>
    <row r="146" spans="1:50" ht="15" x14ac:dyDescent="0.2">
      <c r="A146" s="77"/>
      <c r="B146" s="199"/>
      <c r="C146" s="28"/>
      <c r="D146" s="189" t="str">
        <f>IF(AJ144=TRUE,"Pas de participation possible en cas de remplacement de chauffage électrique avec la solution standard n°3","")</f>
        <v/>
      </c>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28"/>
      <c r="AA146" s="28"/>
      <c r="AB146" s="28"/>
      <c r="AC146" s="28"/>
      <c r="AD146" s="28"/>
      <c r="AE146" s="28"/>
      <c r="AF146" s="28"/>
      <c r="AG146" s="28"/>
      <c r="AH146" s="270"/>
      <c r="AI146" s="271"/>
      <c r="AL146" s="275"/>
      <c r="AM146" s="208" t="s">
        <v>201</v>
      </c>
      <c r="AN146" s="212">
        <f>SUM(X133:AC133,F133:M133)</f>
        <v>0</v>
      </c>
      <c r="AO146" s="208" t="s">
        <v>45</v>
      </c>
      <c r="AP146" s="223" t="e">
        <f>AN146/$O$130</f>
        <v>#DIV/0!</v>
      </c>
      <c r="AQ146" s="276" t="s">
        <v>211</v>
      </c>
      <c r="AR146" s="208" t="s">
        <v>212</v>
      </c>
      <c r="AS146" s="208" t="s">
        <v>192</v>
      </c>
    </row>
    <row r="147" spans="1:50" ht="15" x14ac:dyDescent="0.2">
      <c r="A147" s="77"/>
      <c r="B147" s="199"/>
      <c r="C147" s="28"/>
      <c r="D147" s="18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28"/>
      <c r="AA147" s="28"/>
      <c r="AB147" s="28"/>
      <c r="AC147" s="28"/>
      <c r="AD147" s="28"/>
      <c r="AE147" s="28"/>
      <c r="AF147" s="28"/>
      <c r="AG147" s="28"/>
      <c r="AH147" s="270"/>
      <c r="AI147" s="271"/>
      <c r="AL147" s="275"/>
      <c r="AM147" s="208" t="s">
        <v>201</v>
      </c>
      <c r="AN147" s="212">
        <f>SUM(V133:AC133,F133:O133)</f>
        <v>0</v>
      </c>
      <c r="AO147" s="208" t="s">
        <v>45</v>
      </c>
      <c r="AP147" s="223" t="e">
        <f>AN147/$O$130</f>
        <v>#DIV/0!</v>
      </c>
      <c r="AQ147" s="276" t="s">
        <v>211</v>
      </c>
      <c r="AR147" s="208" t="s">
        <v>213</v>
      </c>
      <c r="AS147" s="208" t="s">
        <v>193</v>
      </c>
    </row>
    <row r="148" spans="1:50" ht="15" x14ac:dyDescent="0.2">
      <c r="A148" s="77"/>
      <c r="B148" s="100"/>
      <c r="C148" s="132" t="s">
        <v>668</v>
      </c>
      <c r="D148" s="30"/>
      <c r="E148" s="30"/>
      <c r="F148" s="30"/>
      <c r="G148" s="30"/>
      <c r="H148" s="30"/>
      <c r="I148" s="30"/>
      <c r="J148" s="30"/>
      <c r="K148" s="30"/>
      <c r="L148" s="30"/>
      <c r="M148" s="30"/>
      <c r="N148" s="30"/>
      <c r="O148" s="30"/>
      <c r="P148" s="30"/>
      <c r="Q148" s="30"/>
      <c r="R148" s="30"/>
      <c r="S148" s="30"/>
      <c r="T148" s="30"/>
      <c r="U148" s="30"/>
      <c r="V148" s="30"/>
      <c r="W148" s="30"/>
      <c r="X148" s="30"/>
      <c r="Y148" s="30"/>
      <c r="Z148" s="28"/>
      <c r="AA148" s="28"/>
      <c r="AB148" s="28"/>
      <c r="AC148" s="28"/>
      <c r="AD148" s="28"/>
      <c r="AE148" s="28"/>
      <c r="AF148" s="28"/>
      <c r="AG148" s="28"/>
      <c r="AH148" s="270"/>
      <c r="AI148" s="271"/>
      <c r="AL148" s="275"/>
      <c r="AM148" s="208" t="s">
        <v>47</v>
      </c>
      <c r="AN148" s="212">
        <f>SUM(L133:W133)</f>
        <v>0</v>
      </c>
      <c r="AO148" s="208" t="s">
        <v>45</v>
      </c>
      <c r="AP148" s="223" t="e">
        <f>AN148/$O$130</f>
        <v>#DIV/0!</v>
      </c>
      <c r="AQ148" s="276" t="s">
        <v>211</v>
      </c>
      <c r="AR148" s="208" t="s">
        <v>214</v>
      </c>
    </row>
    <row r="149" spans="1:50" ht="15.75" x14ac:dyDescent="0.2">
      <c r="A149" s="7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28"/>
      <c r="AA149" s="28"/>
      <c r="AB149" s="28"/>
      <c r="AC149" s="28"/>
      <c r="AD149" s="28"/>
      <c r="AE149" s="28"/>
      <c r="AF149" s="28"/>
      <c r="AG149" s="28"/>
      <c r="AH149" s="270"/>
      <c r="AI149" s="271"/>
      <c r="AL149" s="275"/>
      <c r="AM149" s="208" t="s">
        <v>219</v>
      </c>
      <c r="AN149" s="212">
        <f>SUM(Z133:AC133,F133:I133)</f>
        <v>0</v>
      </c>
      <c r="AO149" s="208" t="s">
        <v>45</v>
      </c>
      <c r="AP149" s="223" t="e">
        <f>AN149/$O$130</f>
        <v>#DIV/0!</v>
      </c>
      <c r="AQ149" s="276" t="s">
        <v>211</v>
      </c>
      <c r="AR149" s="208" t="s">
        <v>215</v>
      </c>
    </row>
    <row r="150" spans="1:50" ht="14.25" x14ac:dyDescent="0.2">
      <c r="A150" s="77"/>
      <c r="B150" s="498" t="s">
        <v>31</v>
      </c>
      <c r="C150" s="499"/>
      <c r="D150" s="499"/>
      <c r="E150" s="499"/>
      <c r="F150" s="500"/>
      <c r="G150" s="498" t="s">
        <v>109</v>
      </c>
      <c r="H150" s="499"/>
      <c r="I150" s="499"/>
      <c r="J150" s="498" t="s">
        <v>30</v>
      </c>
      <c r="K150" s="499"/>
      <c r="L150" s="499"/>
      <c r="M150" s="499"/>
      <c r="N150" s="500"/>
      <c r="O150" s="498" t="s">
        <v>293</v>
      </c>
      <c r="P150" s="499"/>
      <c r="Q150" s="499"/>
      <c r="R150" s="499"/>
      <c r="S150" s="500"/>
      <c r="T150" s="498" t="s">
        <v>248</v>
      </c>
      <c r="U150" s="499"/>
      <c r="V150" s="499"/>
      <c r="W150" s="499"/>
      <c r="X150" s="499"/>
      <c r="Y150" s="499"/>
      <c r="Z150" s="500"/>
      <c r="AA150" s="28"/>
      <c r="AB150" s="680" t="s">
        <v>298</v>
      </c>
      <c r="AC150" s="680"/>
      <c r="AD150" s="680"/>
      <c r="AE150" s="680"/>
      <c r="AF150" s="680"/>
      <c r="AG150" s="680"/>
      <c r="AH150" s="270"/>
      <c r="AI150" s="271"/>
      <c r="AL150" s="277"/>
      <c r="AM150" s="278"/>
      <c r="AN150" s="278"/>
      <c r="AO150" s="278"/>
      <c r="AP150" s="278"/>
      <c r="AQ150" s="279"/>
    </row>
    <row r="151" spans="1:50" ht="14.25" x14ac:dyDescent="0.2">
      <c r="A151" s="77"/>
      <c r="B151" s="501"/>
      <c r="C151" s="502"/>
      <c r="D151" s="502"/>
      <c r="E151" s="502"/>
      <c r="F151" s="503"/>
      <c r="G151" s="501"/>
      <c r="H151" s="502"/>
      <c r="I151" s="502"/>
      <c r="J151" s="501"/>
      <c r="K151" s="502"/>
      <c r="L151" s="502"/>
      <c r="M151" s="502"/>
      <c r="N151" s="503"/>
      <c r="O151" s="501"/>
      <c r="P151" s="502"/>
      <c r="Q151" s="502"/>
      <c r="R151" s="502"/>
      <c r="S151" s="503"/>
      <c r="T151" s="501"/>
      <c r="U151" s="502"/>
      <c r="V151" s="502"/>
      <c r="W151" s="502"/>
      <c r="X151" s="502"/>
      <c r="Y151" s="502"/>
      <c r="Z151" s="503"/>
      <c r="AA151" s="28"/>
      <c r="AB151" s="680"/>
      <c r="AC151" s="680"/>
      <c r="AD151" s="680"/>
      <c r="AE151" s="680"/>
      <c r="AF151" s="680"/>
      <c r="AG151" s="680"/>
      <c r="AH151" s="270"/>
      <c r="AI151" s="271"/>
      <c r="AN151" s="260"/>
    </row>
    <row r="152" spans="1:50" ht="16.350000000000001" customHeight="1" x14ac:dyDescent="0.2">
      <c r="A152" s="77"/>
      <c r="B152" s="692"/>
      <c r="C152" s="693"/>
      <c r="D152" s="693"/>
      <c r="E152" s="693"/>
      <c r="F152" s="694"/>
      <c r="G152" s="707"/>
      <c r="H152" s="707"/>
      <c r="I152" s="707"/>
      <c r="J152" s="708"/>
      <c r="K152" s="709"/>
      <c r="L152" s="709"/>
      <c r="M152" s="709"/>
      <c r="N152" s="710"/>
      <c r="O152" s="507">
        <f>J152*G152/1000</f>
        <v>0</v>
      </c>
      <c r="P152" s="508"/>
      <c r="Q152" s="508"/>
      <c r="R152" s="508"/>
      <c r="S152" s="509"/>
      <c r="T152" s="511" t="str">
        <f>IF(AD134&gt;1,AD134,"")</f>
        <v/>
      </c>
      <c r="U152" s="512"/>
      <c r="V152" s="512"/>
      <c r="W152" s="512"/>
      <c r="X152" s="512"/>
      <c r="Y152" s="512"/>
      <c r="Z152" s="513"/>
      <c r="AA152" s="28"/>
      <c r="AB152" s="510">
        <f>IFERROR(T152*O152,0)</f>
        <v>0</v>
      </c>
      <c r="AC152" s="510"/>
      <c r="AD152" s="510"/>
      <c r="AE152" s="510"/>
      <c r="AF152" s="510"/>
      <c r="AG152" s="510"/>
      <c r="AH152" s="270"/>
      <c r="AI152" s="271"/>
      <c r="AJ152" s="349"/>
    </row>
    <row r="153" spans="1:50" ht="16.350000000000001" customHeight="1" x14ac:dyDescent="0.2">
      <c r="A153" s="77"/>
      <c r="B153" s="577"/>
      <c r="C153" s="578"/>
      <c r="D153" s="578"/>
      <c r="E153" s="578"/>
      <c r="F153" s="579"/>
      <c r="G153" s="580"/>
      <c r="H153" s="580"/>
      <c r="I153" s="580"/>
      <c r="J153" s="581"/>
      <c r="K153" s="582"/>
      <c r="L153" s="582"/>
      <c r="M153" s="582"/>
      <c r="N153" s="583"/>
      <c r="O153" s="507">
        <f>G153*J153/1000</f>
        <v>0</v>
      </c>
      <c r="P153" s="508"/>
      <c r="Q153" s="508"/>
      <c r="R153" s="508"/>
      <c r="S153" s="509"/>
      <c r="T153" s="504" t="str">
        <f>IF(AD134&gt;1,AD134,"")</f>
        <v/>
      </c>
      <c r="U153" s="505"/>
      <c r="V153" s="505"/>
      <c r="W153" s="505"/>
      <c r="X153" s="505"/>
      <c r="Y153" s="505"/>
      <c r="Z153" s="506"/>
      <c r="AA153" s="28"/>
      <c r="AB153" s="510">
        <f>IFERROR(G153*J153/1000*T153,0)</f>
        <v>0</v>
      </c>
      <c r="AC153" s="510"/>
      <c r="AD153" s="510"/>
      <c r="AE153" s="510"/>
      <c r="AF153" s="510"/>
      <c r="AG153" s="510"/>
      <c r="AH153" s="270"/>
      <c r="AI153" s="271"/>
      <c r="AJ153" s="209"/>
      <c r="AK153" s="212"/>
      <c r="AM153" s="273" t="s">
        <v>222</v>
      </c>
      <c r="AN153" s="273"/>
      <c r="AO153" s="273"/>
      <c r="AP153" s="273"/>
      <c r="AQ153" s="273"/>
    </row>
    <row r="154" spans="1:50" ht="16.350000000000001" customHeight="1" x14ac:dyDescent="0.2">
      <c r="A154" s="77"/>
      <c r="B154" s="577"/>
      <c r="C154" s="578"/>
      <c r="D154" s="578"/>
      <c r="E154" s="578"/>
      <c r="F154" s="579"/>
      <c r="G154" s="580"/>
      <c r="H154" s="580"/>
      <c r="I154" s="580"/>
      <c r="J154" s="581"/>
      <c r="K154" s="582"/>
      <c r="L154" s="582"/>
      <c r="M154" s="582"/>
      <c r="N154" s="583"/>
      <c r="O154" s="507">
        <f t="shared" ref="O154:O155" si="8">G154*J154/1000</f>
        <v>0</v>
      </c>
      <c r="P154" s="508"/>
      <c r="Q154" s="508"/>
      <c r="R154" s="508"/>
      <c r="S154" s="509"/>
      <c r="T154" s="504" t="str">
        <f>IF(AD134&gt;1,AD134,"")</f>
        <v/>
      </c>
      <c r="U154" s="505"/>
      <c r="V154" s="505"/>
      <c r="W154" s="505"/>
      <c r="X154" s="505"/>
      <c r="Y154" s="505"/>
      <c r="Z154" s="506"/>
      <c r="AA154" s="28"/>
      <c r="AB154" s="510">
        <f>IFERROR(G154*J154/1000*T154,0)</f>
        <v>0</v>
      </c>
      <c r="AC154" s="510"/>
      <c r="AD154" s="510"/>
      <c r="AE154" s="510"/>
      <c r="AF154" s="510"/>
      <c r="AG154" s="510"/>
      <c r="AH154" s="270"/>
      <c r="AI154" s="271"/>
      <c r="AJ154" s="209"/>
      <c r="AK154" s="212"/>
    </row>
    <row r="155" spans="1:50" ht="16.350000000000001" customHeight="1" x14ac:dyDescent="0.2">
      <c r="A155" s="77"/>
      <c r="B155" s="593"/>
      <c r="C155" s="594"/>
      <c r="D155" s="594"/>
      <c r="E155" s="594"/>
      <c r="F155" s="595"/>
      <c r="G155" s="596"/>
      <c r="H155" s="596"/>
      <c r="I155" s="596"/>
      <c r="J155" s="597"/>
      <c r="K155" s="598"/>
      <c r="L155" s="598"/>
      <c r="M155" s="598"/>
      <c r="N155" s="599"/>
      <c r="O155" s="507">
        <f t="shared" si="8"/>
        <v>0</v>
      </c>
      <c r="P155" s="508"/>
      <c r="Q155" s="508"/>
      <c r="R155" s="508"/>
      <c r="S155" s="509"/>
      <c r="T155" s="587" t="str">
        <f>IF(AD134&gt;1,AD134,"")</f>
        <v/>
      </c>
      <c r="U155" s="588"/>
      <c r="V155" s="588"/>
      <c r="W155" s="588"/>
      <c r="X155" s="588"/>
      <c r="Y155" s="588"/>
      <c r="Z155" s="589"/>
      <c r="AA155" s="28"/>
      <c r="AB155" s="510">
        <f>IFERROR(G155*J155/1000*T155,0)</f>
        <v>0</v>
      </c>
      <c r="AC155" s="510"/>
      <c r="AD155" s="510"/>
      <c r="AE155" s="510"/>
      <c r="AF155" s="510"/>
      <c r="AG155" s="510"/>
      <c r="AH155" s="270"/>
      <c r="AI155" s="271"/>
      <c r="AJ155" s="322">
        <f>O156</f>
        <v>0</v>
      </c>
      <c r="AK155" s="208" t="s">
        <v>280</v>
      </c>
      <c r="AM155" s="212" t="s">
        <v>195</v>
      </c>
      <c r="AN155" s="313">
        <f>IF(AK17=TRUE,AC33,0)</f>
        <v>0</v>
      </c>
      <c r="AO155" s="208" t="s">
        <v>82</v>
      </c>
      <c r="AP155" s="261">
        <f>AN155</f>
        <v>0</v>
      </c>
      <c r="AQ155" s="209" t="s">
        <v>82</v>
      </c>
      <c r="AT155" s="688">
        <f>SUM(AP155:AP157)</f>
        <v>0</v>
      </c>
      <c r="AU155" s="690" t="s">
        <v>256</v>
      </c>
    </row>
    <row r="156" spans="1:50" ht="16.350000000000001" customHeight="1" x14ac:dyDescent="0.2">
      <c r="A156" s="77"/>
      <c r="B156" s="28"/>
      <c r="C156" s="52"/>
      <c r="D156" s="52"/>
      <c r="E156" s="52"/>
      <c r="F156" s="52"/>
      <c r="G156" s="52"/>
      <c r="H156" s="52"/>
      <c r="I156" s="52"/>
      <c r="J156" s="52"/>
      <c r="K156" s="52"/>
      <c r="L156" s="52"/>
      <c r="M156" s="52"/>
      <c r="N156" s="52"/>
      <c r="O156" s="574">
        <f>ROUND(SUM(O152:S155),10)</f>
        <v>0</v>
      </c>
      <c r="P156" s="575"/>
      <c r="Q156" s="575"/>
      <c r="R156" s="575"/>
      <c r="S156" s="576"/>
      <c r="T156" s="28"/>
      <c r="U156" s="28"/>
      <c r="V156" s="20"/>
      <c r="W156" s="20"/>
      <c r="X156" s="20"/>
      <c r="Y156" s="20"/>
      <c r="Z156" s="20"/>
      <c r="AA156" s="20"/>
      <c r="AB156" s="584">
        <f>SUM(AB152:AG155)</f>
        <v>0</v>
      </c>
      <c r="AC156" s="585"/>
      <c r="AD156" s="585"/>
      <c r="AE156" s="585"/>
      <c r="AF156" s="585"/>
      <c r="AG156" s="586"/>
      <c r="AH156" s="270"/>
      <c r="AI156" s="271"/>
      <c r="AJ156" s="322">
        <f>AP165</f>
        <v>0</v>
      </c>
      <c r="AK156" s="208" t="s">
        <v>279</v>
      </c>
      <c r="AM156" s="212" t="s">
        <v>194</v>
      </c>
      <c r="AN156" s="313">
        <f>IF(AL17=TRUE,AK48,0)</f>
        <v>0</v>
      </c>
      <c r="AO156" s="208" t="s">
        <v>82</v>
      </c>
      <c r="AP156" s="261">
        <f>AN156</f>
        <v>0</v>
      </c>
      <c r="AQ156" s="209" t="s">
        <v>82</v>
      </c>
      <c r="AT156" s="689"/>
      <c r="AU156" s="690"/>
    </row>
    <row r="157" spans="1:50" ht="16.350000000000001" customHeight="1" x14ac:dyDescent="0.2">
      <c r="A157" s="77"/>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0"/>
      <c r="AA157" s="20"/>
      <c r="AB157" s="20"/>
      <c r="AC157" s="20"/>
      <c r="AD157" s="20"/>
      <c r="AE157" s="20"/>
      <c r="AF157" s="21"/>
      <c r="AG157" s="22"/>
      <c r="AH157" s="270"/>
      <c r="AI157" s="271"/>
      <c r="AJ157" s="323">
        <f>(AJ156-AJ155)</f>
        <v>0</v>
      </c>
      <c r="AK157" s="208" t="s">
        <v>281</v>
      </c>
      <c r="AM157" s="257" t="s">
        <v>197</v>
      </c>
      <c r="AN157" s="313">
        <f>IF(AK19=TRUE,AC60,0)</f>
        <v>0</v>
      </c>
      <c r="AO157" s="208" t="s">
        <v>82</v>
      </c>
      <c r="AP157" s="261">
        <f>AN157</f>
        <v>0</v>
      </c>
      <c r="AQ157" s="209" t="s">
        <v>82</v>
      </c>
      <c r="AT157" s="689"/>
      <c r="AU157" s="690"/>
    </row>
    <row r="158" spans="1:50" ht="16.350000000000001" customHeight="1" x14ac:dyDescent="0.2">
      <c r="A158" s="77"/>
      <c r="B158" s="28"/>
      <c r="C158" s="52"/>
      <c r="D158" s="52"/>
      <c r="E158" s="52"/>
      <c r="F158" s="52"/>
      <c r="G158" s="52"/>
      <c r="H158" s="52"/>
      <c r="I158" s="52"/>
      <c r="J158" s="52"/>
      <c r="K158" s="52"/>
      <c r="L158" s="52"/>
      <c r="M158" s="52"/>
      <c r="N158" s="52"/>
      <c r="O158" s="52"/>
      <c r="P158" s="52"/>
      <c r="Q158" s="52"/>
      <c r="R158" s="28"/>
      <c r="T158" s="28"/>
      <c r="U158" s="28"/>
      <c r="W158" s="99"/>
      <c r="X158" s="99"/>
      <c r="Y158" s="99"/>
      <c r="Z158" s="99"/>
      <c r="AA158" s="22" t="s">
        <v>335</v>
      </c>
      <c r="AB158" s="696">
        <f>O156</f>
        <v>0</v>
      </c>
      <c r="AC158" s="696"/>
      <c r="AD158" s="696"/>
      <c r="AE158" s="696"/>
      <c r="AF158" s="695" t="s">
        <v>79</v>
      </c>
      <c r="AG158" s="695"/>
      <c r="AH158" s="270"/>
      <c r="AI158" s="271"/>
      <c r="AJ158" s="209"/>
      <c r="AM158" s="257" t="s">
        <v>198</v>
      </c>
      <c r="AN158" s="313">
        <f>IF(AND(AK63=TRUE,AK19=TRUE),AC65,0)</f>
        <v>0</v>
      </c>
      <c r="AO158" s="208" t="s">
        <v>45</v>
      </c>
      <c r="AP158" s="262">
        <f>IFERROR(IF(O23="Montana",AN158/AP147,AN158/AP146),0)</f>
        <v>0</v>
      </c>
      <c r="AQ158" s="209" t="s">
        <v>82</v>
      </c>
      <c r="AT158" s="691">
        <f>SUM(AP158:AP164)</f>
        <v>0</v>
      </c>
      <c r="AU158" s="690" t="s">
        <v>257</v>
      </c>
      <c r="AV158" s="211">
        <f>IF(SUM(AN158:AN164)=0,0,1)</f>
        <v>0</v>
      </c>
      <c r="AX158" s="208" t="s">
        <v>259</v>
      </c>
    </row>
    <row r="159" spans="1:50" ht="16.350000000000001" customHeight="1" x14ac:dyDescent="0.2">
      <c r="A159" s="77"/>
      <c r="B159" s="270"/>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2" t="s">
        <v>334</v>
      </c>
      <c r="AB159" s="696">
        <f>K136</f>
        <v>0</v>
      </c>
      <c r="AC159" s="696"/>
      <c r="AD159" s="696"/>
      <c r="AE159" s="696"/>
      <c r="AF159" s="695" t="s">
        <v>79</v>
      </c>
      <c r="AG159" s="695"/>
      <c r="AH159" s="270"/>
      <c r="AI159" s="271"/>
      <c r="AM159" s="212" t="s">
        <v>196</v>
      </c>
      <c r="AN159" s="313">
        <f>IF(AM17=TRUE,IF(OR(AK74=2,AK74=4,AK74=6),AK87,0),0)</f>
        <v>0</v>
      </c>
      <c r="AO159" s="208" t="s">
        <v>45</v>
      </c>
      <c r="AP159" s="698">
        <f>IFERROR(IF(AR160&gt;AR159,AR160,AR159),0)</f>
        <v>0</v>
      </c>
      <c r="AQ159" s="697" t="s">
        <v>82</v>
      </c>
      <c r="AR159" s="262" t="e">
        <f>AN159/AP148</f>
        <v>#DIV/0!</v>
      </c>
      <c r="AS159" s="209" t="s">
        <v>82</v>
      </c>
      <c r="AT159" s="691"/>
      <c r="AU159" s="690"/>
      <c r="AX159" s="208" t="s">
        <v>260</v>
      </c>
    </row>
    <row r="160" spans="1:50" ht="16.350000000000001" customHeight="1" thickBot="1" x14ac:dyDescent="0.25">
      <c r="A160" s="77"/>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1"/>
      <c r="AM160" s="212" t="s">
        <v>199</v>
      </c>
      <c r="AN160" s="313">
        <f>IF(AM17=TRUE,IF(OR(AK74=2,AK74=4,AK74=6),AL87,0),0)</f>
        <v>0</v>
      </c>
      <c r="AO160" s="208" t="s">
        <v>45</v>
      </c>
      <c r="AP160" s="698"/>
      <c r="AQ160" s="697"/>
      <c r="AR160" s="262" t="e">
        <f>AN160/AP149</f>
        <v>#DIV/0!</v>
      </c>
      <c r="AS160" s="209" t="s">
        <v>82</v>
      </c>
      <c r="AT160" s="691"/>
      <c r="AU160" s="690"/>
    </row>
    <row r="161" spans="1:69" x14ac:dyDescent="0.2">
      <c r="B161" s="699" t="str">
        <f>IF(AJ144=TRUE,"Participation selon art. 59 demandée, compléter annexe",(IF(K136="?","Compléter la simulation solaire sur site pour que le calcul puisse s'effectuer",IF(O156=0,"Il n'y a pas d'installation solaire décrite",IF(AJ155&gt;=AJ156,"L'installation projetée permet de couvrir les besoins du projet","Les besoins du projet ne sont pas couverts, le déficit est de "&amp;ROUND(AJ157,1)&amp;" kWc sur le site concerné")))))</f>
        <v>Il n'y a pas d'installation solaire décrite</v>
      </c>
      <c r="C161" s="700"/>
      <c r="D161" s="700"/>
      <c r="E161" s="700"/>
      <c r="F161" s="700"/>
      <c r="G161" s="700"/>
      <c r="H161" s="700"/>
      <c r="I161" s="700"/>
      <c r="J161" s="700"/>
      <c r="K161" s="700"/>
      <c r="L161" s="700"/>
      <c r="M161" s="700"/>
      <c r="N161" s="700"/>
      <c r="O161" s="700"/>
      <c r="P161" s="700"/>
      <c r="Q161" s="700"/>
      <c r="R161" s="700"/>
      <c r="S161" s="700"/>
      <c r="T161" s="700"/>
      <c r="U161" s="700"/>
      <c r="V161" s="700"/>
      <c r="W161" s="700"/>
      <c r="X161" s="700"/>
      <c r="Y161" s="700"/>
      <c r="Z161" s="700"/>
      <c r="AA161" s="700"/>
      <c r="AB161" s="700"/>
      <c r="AC161" s="700"/>
      <c r="AD161" s="700"/>
      <c r="AE161" s="700"/>
      <c r="AF161" s="700"/>
      <c r="AG161" s="700"/>
      <c r="AH161" s="701"/>
      <c r="AM161" s="212" t="s">
        <v>283</v>
      </c>
      <c r="AN161" s="313">
        <f>IF(AM17=TRUE,AK112,0)</f>
        <v>0</v>
      </c>
      <c r="AO161" s="208" t="s">
        <v>45</v>
      </c>
      <c r="AP161" s="698">
        <f>IFERROR(IF(AN158&lt;&gt;0,0,IF(AR162&gt;AR161,AR162,AR161)),0)</f>
        <v>0</v>
      </c>
      <c r="AQ161" s="697" t="s">
        <v>82</v>
      </c>
      <c r="AR161" s="262" t="e">
        <f>AN161/AP148</f>
        <v>#DIV/0!</v>
      </c>
      <c r="AS161" s="209" t="s">
        <v>82</v>
      </c>
      <c r="AT161" s="691"/>
      <c r="AU161" s="690"/>
    </row>
    <row r="162" spans="1:69" ht="19.350000000000001" customHeight="1" x14ac:dyDescent="0.2">
      <c r="B162" s="702"/>
      <c r="C162" s="633"/>
      <c r="D162" s="633"/>
      <c r="E162" s="633"/>
      <c r="F162" s="633"/>
      <c r="G162" s="633"/>
      <c r="H162" s="633"/>
      <c r="I162" s="633"/>
      <c r="J162" s="633"/>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703"/>
      <c r="AM162" s="212" t="s">
        <v>284</v>
      </c>
      <c r="AN162" s="313">
        <f>IF(AM17=TRUE,AK113,0)</f>
        <v>0</v>
      </c>
      <c r="AO162" s="208" t="s">
        <v>45</v>
      </c>
      <c r="AP162" s="698"/>
      <c r="AQ162" s="697"/>
      <c r="AR162" s="262" t="e">
        <f>AN162/AP149</f>
        <v>#DIV/0!</v>
      </c>
      <c r="AS162" s="209" t="s">
        <v>82</v>
      </c>
      <c r="AT162" s="691"/>
      <c r="AU162" s="690"/>
    </row>
    <row r="163" spans="1:69" ht="18" customHeight="1" thickBot="1" x14ac:dyDescent="0.25">
      <c r="B163" s="704"/>
      <c r="C163" s="705"/>
      <c r="D163" s="705"/>
      <c r="E163" s="705"/>
      <c r="F163" s="705"/>
      <c r="G163" s="705"/>
      <c r="H163" s="705"/>
      <c r="I163" s="705"/>
      <c r="J163" s="705"/>
      <c r="K163" s="705"/>
      <c r="L163" s="705"/>
      <c r="M163" s="705"/>
      <c r="N163" s="705"/>
      <c r="O163" s="705"/>
      <c r="P163" s="705"/>
      <c r="Q163" s="705"/>
      <c r="R163" s="705"/>
      <c r="S163" s="705"/>
      <c r="T163" s="705"/>
      <c r="U163" s="705"/>
      <c r="V163" s="705"/>
      <c r="W163" s="705"/>
      <c r="X163" s="705"/>
      <c r="Y163" s="705"/>
      <c r="Z163" s="705"/>
      <c r="AA163" s="705"/>
      <c r="AB163" s="705"/>
      <c r="AC163" s="705"/>
      <c r="AD163" s="705"/>
      <c r="AE163" s="705"/>
      <c r="AF163" s="705"/>
      <c r="AG163" s="705"/>
      <c r="AH163" s="706"/>
      <c r="AM163" s="212" t="s">
        <v>285</v>
      </c>
      <c r="AN163" s="313">
        <f>IF(AM17=TRUE,AK114,0)</f>
        <v>0</v>
      </c>
      <c r="AO163" s="208" t="s">
        <v>45</v>
      </c>
      <c r="AP163" s="698">
        <f>IFERROR(IF(AR164&gt;AR163,AR164,AR163),0)</f>
        <v>0</v>
      </c>
      <c r="AQ163" s="697" t="s">
        <v>82</v>
      </c>
      <c r="AR163" s="312" t="e">
        <f>AN163/AP148</f>
        <v>#DIV/0!</v>
      </c>
      <c r="AS163" s="209" t="s">
        <v>82</v>
      </c>
      <c r="AT163" s="691"/>
      <c r="AU163" s="690"/>
    </row>
    <row r="164" spans="1:69" ht="15.75" customHeight="1" x14ac:dyDescent="0.2">
      <c r="B164" s="189" t="str">
        <f>IF(AJ144=TRUE,"",IFERROR(IF(AND(K136&lt;&gt;"?",O156&lt;K136,AP169&gt;0.0001),"Le déficit à couvrir est de "&amp;ROUND(AP169,0.1)&amp;" kWh/a pour satisfaire les exigences",""),""))</f>
        <v/>
      </c>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J164" s="257">
        <f>IF(AB169&lt;&gt;0,1,0)</f>
        <v>0</v>
      </c>
      <c r="AM164" s="212" t="s">
        <v>286</v>
      </c>
      <c r="AN164" s="313">
        <f>IF(AM17=TRUE,AK115,0)</f>
        <v>0</v>
      </c>
      <c r="AO164" s="208" t="s">
        <v>45</v>
      </c>
      <c r="AP164" s="698"/>
      <c r="AQ164" s="697"/>
      <c r="AR164" s="312" t="e">
        <f>AN164/AP149</f>
        <v>#DIV/0!</v>
      </c>
      <c r="AS164" s="209" t="s">
        <v>82</v>
      </c>
      <c r="AT164" s="691"/>
      <c r="AU164" s="690"/>
    </row>
    <row r="165" spans="1:69" ht="14.85" customHeight="1" x14ac:dyDescent="0.2">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M165" s="209"/>
      <c r="AN165" s="209"/>
      <c r="AO165" s="280" t="s">
        <v>223</v>
      </c>
      <c r="AP165" s="401">
        <f>IF(AT158=0,AT155,AT155+AT158)</f>
        <v>0</v>
      </c>
      <c r="AQ165" s="266" t="s">
        <v>82</v>
      </c>
    </row>
    <row r="166" spans="1:69" ht="15.6" customHeight="1" x14ac:dyDescent="0.2">
      <c r="B166" s="100" t="s">
        <v>218</v>
      </c>
      <c r="C166" s="100"/>
      <c r="D166" s="30"/>
      <c r="E166" s="30"/>
      <c r="F166" s="30"/>
      <c r="G166" s="30"/>
      <c r="H166" s="30"/>
      <c r="I166" s="30"/>
      <c r="J166" s="30"/>
      <c r="K166" s="30"/>
      <c r="L166" s="30"/>
      <c r="M166" s="30"/>
      <c r="N166" s="30"/>
      <c r="O166" s="30"/>
      <c r="P166" s="30"/>
      <c r="Q166" s="30"/>
      <c r="R166" s="30"/>
      <c r="S166" s="30"/>
      <c r="T166" s="30"/>
      <c r="U166" s="30"/>
      <c r="V166" s="30"/>
      <c r="W166" s="30"/>
      <c r="X166" s="30"/>
      <c r="Y166" s="30"/>
      <c r="Z166" s="20"/>
      <c r="AA166" s="20"/>
      <c r="AB166" s="28"/>
      <c r="AC166" s="28"/>
      <c r="AD166" s="28"/>
      <c r="AE166" s="28"/>
      <c r="AF166" s="28"/>
      <c r="AG166" s="28"/>
      <c r="AH166" s="77"/>
      <c r="AO166" s="281" t="s">
        <v>224</v>
      </c>
      <c r="AP166" s="267" t="e">
        <f>AP165*AD134</f>
        <v>#VALUE!</v>
      </c>
      <c r="AQ166" s="221" t="s">
        <v>216</v>
      </c>
    </row>
    <row r="167" spans="1:69" ht="15" customHeight="1" x14ac:dyDescent="0.2">
      <c r="A167" s="245"/>
      <c r="B167" s="100" t="s">
        <v>354</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565" t="s">
        <v>103</v>
      </c>
      <c r="AC167" s="566"/>
      <c r="AD167" s="566"/>
      <c r="AE167" s="566"/>
      <c r="AF167" s="566"/>
      <c r="AG167" s="567"/>
      <c r="AH167" s="245"/>
      <c r="AI167" s="245"/>
    </row>
    <row r="168" spans="1:69" ht="15" customHeight="1" x14ac:dyDescent="0.2">
      <c r="A168" s="245"/>
      <c r="B168" s="100"/>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590" t="s">
        <v>45</v>
      </c>
      <c r="AC168" s="591"/>
      <c r="AD168" s="591"/>
      <c r="AE168" s="591"/>
      <c r="AF168" s="591"/>
      <c r="AG168" s="592"/>
      <c r="AH168" s="245"/>
      <c r="AI168" s="245"/>
      <c r="AO168" s="281" t="s">
        <v>312</v>
      </c>
      <c r="AP168" s="267">
        <f>AB156</f>
        <v>0</v>
      </c>
      <c r="AQ168" s="221" t="s">
        <v>216</v>
      </c>
    </row>
    <row r="169" spans="1:69" x14ac:dyDescent="0.2">
      <c r="A169" s="245"/>
      <c r="B169" s="245"/>
      <c r="C169" s="28" t="s">
        <v>99</v>
      </c>
      <c r="D169" s="52"/>
      <c r="E169" s="52"/>
      <c r="F169" s="52"/>
      <c r="G169" s="52"/>
      <c r="H169" s="52"/>
      <c r="I169" s="568"/>
      <c r="J169" s="569"/>
      <c r="K169" s="569"/>
      <c r="L169" s="569"/>
      <c r="M169" s="569"/>
      <c r="N169" s="569"/>
      <c r="O169" s="569"/>
      <c r="P169" s="569"/>
      <c r="Q169" s="569"/>
      <c r="R169" s="569"/>
      <c r="S169" s="569"/>
      <c r="T169" s="569"/>
      <c r="U169" s="569"/>
      <c r="V169" s="569"/>
      <c r="W169" s="569"/>
      <c r="X169" s="569"/>
      <c r="Y169" s="569"/>
      <c r="Z169" s="570"/>
      <c r="AA169" s="19"/>
      <c r="AB169" s="571"/>
      <c r="AC169" s="572"/>
      <c r="AD169" s="572"/>
      <c r="AE169" s="572"/>
      <c r="AF169" s="572"/>
      <c r="AG169" s="573"/>
      <c r="AH169" s="245"/>
      <c r="AI169" s="245"/>
      <c r="AJ169" s="257"/>
      <c r="AM169" s="208" t="s">
        <v>210</v>
      </c>
      <c r="AO169" s="281" t="s">
        <v>313</v>
      </c>
      <c r="AP169" s="267" t="e">
        <f>AP166-AP168</f>
        <v>#VALUE!</v>
      </c>
      <c r="AQ169" s="221" t="s">
        <v>216</v>
      </c>
    </row>
    <row r="170" spans="1:69" x14ac:dyDescent="0.2">
      <c r="A170" s="245"/>
      <c r="B170" s="245"/>
      <c r="C170" s="42" t="str">
        <f>IF((OR(AK22=2,AB169&lt;&gt;0)),"Fournir EN-VS-133 et justification des besoins en fonction des éléments du projet soumis","")</f>
        <v/>
      </c>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404"/>
      <c r="AC170" s="404"/>
      <c r="AD170" s="404"/>
      <c r="AE170" s="404"/>
      <c r="AF170" s="404"/>
      <c r="AG170" s="404"/>
      <c r="AH170" s="245"/>
      <c r="AI170" s="245"/>
      <c r="AM170" s="264" t="s">
        <v>209</v>
      </c>
    </row>
    <row r="171" spans="1:69" ht="14.25" customHeight="1" thickBot="1" x14ac:dyDescent="0.25">
      <c r="B171" s="14"/>
      <c r="C171" s="14"/>
      <c r="D171" s="265"/>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J171" s="53"/>
      <c r="AM171" s="264" t="s">
        <v>208</v>
      </c>
    </row>
    <row r="172" spans="1:69" ht="14.25" customHeight="1" x14ac:dyDescent="0.2">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M172" s="264" t="s">
        <v>207</v>
      </c>
      <c r="AO172" s="281" t="s">
        <v>355</v>
      </c>
      <c r="AP172" s="267">
        <f>AB169</f>
        <v>0</v>
      </c>
      <c r="AQ172" s="221" t="s">
        <v>216</v>
      </c>
    </row>
    <row r="173" spans="1:69" ht="14.25" customHeight="1" x14ac:dyDescent="0.2">
      <c r="B173" s="34" t="s">
        <v>570</v>
      </c>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M173" s="208" t="s">
        <v>202</v>
      </c>
      <c r="AO173" s="281"/>
      <c r="AP173" s="267"/>
      <c r="AQ173" s="221"/>
    </row>
    <row r="174" spans="1:69" ht="14.25" customHeight="1" x14ac:dyDescent="0.2">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M174" s="208" t="s">
        <v>205</v>
      </c>
    </row>
    <row r="175" spans="1:69" s="369" customFormat="1" ht="14.25" customHeight="1" x14ac:dyDescent="0.2">
      <c r="A175" s="62"/>
      <c r="B175" s="1"/>
      <c r="C175" s="104"/>
      <c r="D175" s="104" t="s">
        <v>165</v>
      </c>
      <c r="E175" s="1"/>
      <c r="F175" s="1"/>
      <c r="G175" s="1"/>
      <c r="H175" s="1"/>
      <c r="I175" s="1"/>
      <c r="J175" s="1"/>
      <c r="K175" s="1"/>
      <c r="L175" s="1"/>
      <c r="M175" s="1"/>
      <c r="N175" s="1"/>
      <c r="O175" s="1"/>
      <c r="P175" s="1"/>
      <c r="Q175" s="1"/>
      <c r="R175" s="70"/>
      <c r="S175" s="1"/>
      <c r="T175" s="1"/>
      <c r="U175" s="1"/>
      <c r="V175" s="1"/>
      <c r="W175" s="1"/>
      <c r="X175" s="1"/>
      <c r="Y175" s="1"/>
      <c r="Z175" s="1"/>
      <c r="AA175" s="1"/>
      <c r="AB175" s="1"/>
      <c r="AC175" s="1"/>
      <c r="AD175" s="1"/>
      <c r="AE175" s="1"/>
      <c r="AF175" s="1"/>
      <c r="AG175" s="1"/>
      <c r="AH175" s="1"/>
      <c r="AI175" s="1"/>
      <c r="AJ175" s="283"/>
      <c r="AK175" s="368"/>
      <c r="AL175" s="368"/>
      <c r="AM175" s="368" t="s">
        <v>204</v>
      </c>
      <c r="AN175" s="368"/>
      <c r="AO175" s="368"/>
      <c r="AP175" s="368"/>
      <c r="AQ175" s="368"/>
      <c r="AR175" s="368"/>
      <c r="AS175" s="368"/>
      <c r="AT175" s="368"/>
      <c r="AU175" s="368"/>
      <c r="AV175" s="368"/>
      <c r="AW175" s="368"/>
      <c r="AX175" s="368"/>
      <c r="AY175" s="368"/>
      <c r="AZ175" s="368"/>
      <c r="BA175" s="368"/>
      <c r="BB175" s="368"/>
      <c r="BC175" s="368"/>
      <c r="BD175" s="368"/>
      <c r="BE175" s="368"/>
      <c r="BF175" s="368"/>
      <c r="BG175" s="368"/>
      <c r="BH175" s="368"/>
      <c r="BI175" s="368"/>
      <c r="BJ175" s="368"/>
      <c r="BK175" s="368"/>
      <c r="BL175" s="368"/>
      <c r="BM175" s="368"/>
      <c r="BN175" s="368"/>
      <c r="BO175" s="368"/>
      <c r="BP175" s="368"/>
      <c r="BQ175" s="368"/>
    </row>
    <row r="176" spans="1:69" s="369" customFormat="1" ht="14.25" customHeight="1" x14ac:dyDescent="0.2">
      <c r="A176" s="62"/>
      <c r="B176" s="1"/>
      <c r="C176" s="104"/>
      <c r="D176" s="104" t="s">
        <v>381</v>
      </c>
      <c r="E176" s="1"/>
      <c r="F176" s="1"/>
      <c r="G176" s="1"/>
      <c r="H176" s="1"/>
      <c r="I176" s="1"/>
      <c r="J176" s="1"/>
      <c r="K176" s="1"/>
      <c r="L176" s="1"/>
      <c r="M176" s="1"/>
      <c r="N176" s="1"/>
      <c r="O176" s="1"/>
      <c r="P176" s="1"/>
      <c r="Q176" s="1"/>
      <c r="R176" s="70"/>
      <c r="S176" s="1"/>
      <c r="T176" s="1"/>
      <c r="U176" s="1"/>
      <c r="V176" s="1"/>
      <c r="W176" s="1"/>
      <c r="X176" s="1"/>
      <c r="Y176" s="1"/>
      <c r="Z176" s="1"/>
      <c r="AA176" s="1"/>
      <c r="AB176" s="1"/>
      <c r="AC176" s="1"/>
      <c r="AD176" s="1"/>
      <c r="AE176" s="1"/>
      <c r="AF176" s="1"/>
      <c r="AG176" s="1"/>
      <c r="AH176" s="1"/>
      <c r="AI176" s="1"/>
      <c r="AJ176" s="283"/>
      <c r="AK176" s="368"/>
      <c r="AL176" s="368"/>
      <c r="AM176" s="368" t="s">
        <v>206</v>
      </c>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row>
    <row r="177" spans="1:69" s="369" customFormat="1" ht="14.25" customHeight="1" x14ac:dyDescent="0.2">
      <c r="A177" s="62"/>
      <c r="B177" s="1"/>
      <c r="C177" s="104"/>
      <c r="D177" s="104" t="s">
        <v>382</v>
      </c>
      <c r="E177" s="1"/>
      <c r="F177" s="1"/>
      <c r="G177" s="1"/>
      <c r="H177" s="1"/>
      <c r="I177" s="1"/>
      <c r="J177" s="1"/>
      <c r="K177" s="1"/>
      <c r="L177" s="1"/>
      <c r="M177" s="1"/>
      <c r="N177" s="1"/>
      <c r="O177" s="1"/>
      <c r="P177" s="1"/>
      <c r="Q177" s="1"/>
      <c r="R177" s="70"/>
      <c r="S177" s="1"/>
      <c r="T177" s="1"/>
      <c r="U177" s="1"/>
      <c r="V177" s="1"/>
      <c r="W177" s="1"/>
      <c r="X177" s="1"/>
      <c r="Y177" s="1"/>
      <c r="Z177" s="1"/>
      <c r="AA177" s="1"/>
      <c r="AB177" s="1"/>
      <c r="AC177" s="1"/>
      <c r="AD177" s="1"/>
      <c r="AE177" s="1"/>
      <c r="AF177" s="1"/>
      <c r="AG177" s="1"/>
      <c r="AH177" s="1"/>
      <c r="AI177" s="1"/>
      <c r="AJ177" s="283"/>
      <c r="AK177" s="368"/>
      <c r="AL177" s="368"/>
      <c r="AM177" s="368" t="s">
        <v>203</v>
      </c>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368"/>
      <c r="BJ177" s="368"/>
      <c r="BK177" s="368"/>
      <c r="BL177" s="368"/>
      <c r="BM177" s="368"/>
      <c r="BN177" s="368"/>
      <c r="BO177" s="368"/>
      <c r="BP177" s="368"/>
      <c r="BQ177" s="368"/>
    </row>
    <row r="178" spans="1:69" s="369" customFormat="1" ht="16.5" customHeight="1" x14ac:dyDescent="0.2">
      <c r="A178" s="62"/>
      <c r="B178" s="1"/>
      <c r="C178" s="104"/>
      <c r="D178" s="104" t="s">
        <v>383</v>
      </c>
      <c r="E178" s="1"/>
      <c r="F178" s="1"/>
      <c r="G178" s="1"/>
      <c r="H178" s="1"/>
      <c r="I178" s="1"/>
      <c r="J178" s="1"/>
      <c r="K178" s="1"/>
      <c r="L178" s="1"/>
      <c r="M178" s="1"/>
      <c r="N178" s="1"/>
      <c r="O178" s="1"/>
      <c r="P178" s="1"/>
      <c r="Q178" s="1"/>
      <c r="R178" s="70"/>
      <c r="S178" s="1"/>
      <c r="T178" s="1"/>
      <c r="U178" s="1"/>
      <c r="V178" s="1"/>
      <c r="W178" s="1"/>
      <c r="X178" s="1"/>
      <c r="Y178" s="1"/>
      <c r="Z178" s="1"/>
      <c r="AA178" s="1"/>
      <c r="AB178" s="1"/>
      <c r="AC178" s="1"/>
      <c r="AD178" s="1"/>
      <c r="AE178" s="1"/>
      <c r="AF178" s="1"/>
      <c r="AG178" s="1"/>
      <c r="AH178" s="1"/>
      <c r="AI178" s="1"/>
      <c r="AJ178" s="283"/>
      <c r="AK178" s="368"/>
      <c r="AL178" s="368"/>
      <c r="AM178" s="368" t="s">
        <v>249</v>
      </c>
      <c r="AN178" s="368"/>
      <c r="AO178" s="368"/>
      <c r="AP178" s="368"/>
      <c r="AQ178" s="368"/>
      <c r="AR178" s="368"/>
      <c r="AS178" s="368"/>
      <c r="AT178" s="368"/>
      <c r="AU178" s="368"/>
      <c r="AV178" s="368"/>
      <c r="AW178" s="368"/>
      <c r="AX178" s="368"/>
      <c r="AY178" s="368"/>
      <c r="AZ178" s="368"/>
      <c r="BA178" s="368"/>
      <c r="BB178" s="368"/>
      <c r="BC178" s="368"/>
      <c r="BD178" s="368"/>
      <c r="BE178" s="368"/>
      <c r="BF178" s="368"/>
      <c r="BG178" s="368"/>
      <c r="BH178" s="368"/>
      <c r="BI178" s="368"/>
      <c r="BJ178" s="368"/>
      <c r="BK178" s="368"/>
      <c r="BL178" s="368"/>
      <c r="BM178" s="368"/>
      <c r="BN178" s="368"/>
      <c r="BO178" s="368"/>
      <c r="BP178" s="368"/>
      <c r="BQ178" s="368"/>
    </row>
    <row r="179" spans="1:69" s="369" customFormat="1" ht="16.5" customHeight="1" x14ac:dyDescent="0.2">
      <c r="A179" s="62"/>
      <c r="B179" s="1"/>
      <c r="C179" s="104"/>
      <c r="D179" s="1" t="s">
        <v>594</v>
      </c>
      <c r="E179" s="1"/>
      <c r="F179" s="1"/>
      <c r="G179" s="1"/>
      <c r="H179" s="1"/>
      <c r="I179" s="1"/>
      <c r="J179" s="1"/>
      <c r="K179" s="1"/>
      <c r="L179" s="1"/>
      <c r="M179" s="1"/>
      <c r="N179" s="1"/>
      <c r="O179" s="1"/>
      <c r="P179" s="1"/>
      <c r="Q179" s="1"/>
      <c r="R179" s="70"/>
      <c r="S179" s="1"/>
      <c r="T179" s="1"/>
      <c r="U179" s="1"/>
      <c r="V179" s="1"/>
      <c r="W179" s="1"/>
      <c r="X179" s="1"/>
      <c r="Y179" s="1"/>
      <c r="Z179" s="1"/>
      <c r="AA179" s="1"/>
      <c r="AB179" s="1"/>
      <c r="AC179" s="1"/>
      <c r="AD179" s="1"/>
      <c r="AE179" s="1"/>
      <c r="AF179" s="1"/>
      <c r="AG179" s="1"/>
      <c r="AH179" s="1"/>
      <c r="AI179" s="1"/>
      <c r="AJ179" s="283"/>
      <c r="AK179" s="368"/>
      <c r="AL179" s="368"/>
      <c r="AM179" s="368"/>
      <c r="AN179" s="368"/>
      <c r="AO179" s="368"/>
      <c r="AP179" s="368"/>
      <c r="AQ179" s="368"/>
      <c r="AR179" s="368"/>
      <c r="AS179" s="368"/>
      <c r="AT179" s="368"/>
      <c r="AU179" s="368"/>
      <c r="AV179" s="368"/>
      <c r="AW179" s="368"/>
      <c r="AX179" s="368"/>
      <c r="AY179" s="368"/>
      <c r="AZ179" s="368"/>
      <c r="BA179" s="368"/>
      <c r="BB179" s="368"/>
      <c r="BC179" s="368"/>
      <c r="BD179" s="368"/>
      <c r="BE179" s="368"/>
      <c r="BF179" s="368"/>
      <c r="BG179" s="368"/>
      <c r="BH179" s="368"/>
      <c r="BI179" s="368"/>
      <c r="BJ179" s="368"/>
      <c r="BK179" s="368"/>
      <c r="BL179" s="368"/>
      <c r="BM179" s="368"/>
      <c r="BN179" s="368"/>
      <c r="BO179" s="368"/>
      <c r="BP179" s="368"/>
      <c r="BQ179" s="368"/>
    </row>
    <row r="180" spans="1:69" s="369" customFormat="1" ht="16.5" customHeight="1" x14ac:dyDescent="0.2">
      <c r="A180" s="62"/>
      <c r="B180" s="1"/>
      <c r="C180" s="1"/>
      <c r="D180" s="105" t="s">
        <v>595</v>
      </c>
      <c r="E180" s="1"/>
      <c r="F180" s="1"/>
      <c r="G180" s="1"/>
      <c r="H180" s="1"/>
      <c r="I180" s="1"/>
      <c r="J180" s="1"/>
      <c r="K180" s="1"/>
      <c r="L180" s="1"/>
      <c r="M180" s="1"/>
      <c r="N180" s="1"/>
      <c r="O180" s="1"/>
      <c r="P180" s="1"/>
      <c r="Q180" s="1"/>
      <c r="R180" s="70"/>
      <c r="S180" s="1"/>
      <c r="T180" s="1"/>
      <c r="U180" s="1"/>
      <c r="V180" s="1"/>
      <c r="W180" s="1"/>
      <c r="X180" s="1"/>
      <c r="Y180" s="1"/>
      <c r="Z180" s="1"/>
      <c r="AA180" s="1"/>
      <c r="AB180" s="1"/>
      <c r="AC180" s="1"/>
      <c r="AD180" s="1"/>
      <c r="AE180" s="1"/>
      <c r="AF180" s="1"/>
      <c r="AG180" s="1"/>
      <c r="AH180" s="1"/>
      <c r="AI180" s="1"/>
      <c r="AJ180" s="283"/>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row>
    <row r="181" spans="1:69" s="369" customFormat="1" ht="16.5" customHeight="1" x14ac:dyDescent="0.2">
      <c r="A181" s="62"/>
      <c r="B181" s="1"/>
      <c r="C181" s="105"/>
      <c r="D181" s="105" t="s">
        <v>496</v>
      </c>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283"/>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row>
    <row r="182" spans="1:69" s="369" customFormat="1" ht="16.5" customHeight="1" x14ac:dyDescent="0.2">
      <c r="A182" s="62"/>
      <c r="B182" s="1"/>
      <c r="C182" s="105"/>
      <c r="D182" s="600" t="s">
        <v>498</v>
      </c>
      <c r="E182" s="600"/>
      <c r="F182" s="600"/>
      <c r="G182" s="600"/>
      <c r="H182" s="600"/>
      <c r="I182" s="600"/>
      <c r="J182" s="600"/>
      <c r="K182" s="600"/>
      <c r="L182" s="600"/>
      <c r="M182" s="600"/>
      <c r="N182" s="600"/>
      <c r="O182" s="600"/>
      <c r="P182" s="600"/>
      <c r="Q182" s="600"/>
      <c r="R182" s="600"/>
      <c r="S182" s="600"/>
      <c r="T182" s="600"/>
      <c r="U182" s="600"/>
      <c r="V182" s="600"/>
      <c r="W182" s="600"/>
      <c r="X182" s="600"/>
      <c r="Y182" s="600"/>
      <c r="Z182" s="600"/>
      <c r="AA182" s="600"/>
      <c r="AB182" s="600"/>
      <c r="AC182" s="600"/>
      <c r="AD182" s="600"/>
      <c r="AE182" s="600"/>
      <c r="AF182" s="600"/>
      <c r="AG182" s="600"/>
      <c r="AH182" s="600"/>
      <c r="AI182" s="1"/>
      <c r="AJ182" s="283"/>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row>
    <row r="183" spans="1:69" s="369" customFormat="1" ht="16.5" customHeight="1" x14ac:dyDescent="0.2">
      <c r="A183" s="62"/>
      <c r="B183" s="1"/>
      <c r="C183" s="105"/>
      <c r="D183" s="104" t="s">
        <v>384</v>
      </c>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0"/>
      <c r="AE183" s="370"/>
      <c r="AF183" s="370"/>
      <c r="AG183" s="370"/>
      <c r="AH183" s="370"/>
      <c r="AI183" s="1"/>
      <c r="AJ183" s="283"/>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68"/>
      <c r="BM183" s="368"/>
      <c r="BN183" s="368"/>
      <c r="BO183" s="368"/>
      <c r="BP183" s="368"/>
      <c r="BQ183" s="368"/>
    </row>
    <row r="184" spans="1:69" s="369" customFormat="1" ht="16.5" customHeight="1" x14ac:dyDescent="0.2">
      <c r="A184" s="62"/>
      <c r="B184" s="1"/>
      <c r="C184" s="104"/>
      <c r="D184" s="104" t="s">
        <v>386</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283"/>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row>
    <row r="185" spans="1:69" s="369" customFormat="1" ht="16.5" customHeight="1" x14ac:dyDescent="0.2">
      <c r="A185" s="62"/>
      <c r="B185" s="1"/>
      <c r="C185" s="104"/>
      <c r="D185" s="104" t="s">
        <v>645</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283"/>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row>
    <row r="186" spans="1:69" s="369" customFormat="1" ht="16.5" customHeight="1" x14ac:dyDescent="0.2">
      <c r="A186" s="62"/>
      <c r="B186" s="1"/>
      <c r="C186" s="104"/>
      <c r="D186" s="104" t="s">
        <v>387</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283"/>
      <c r="AK186" s="368"/>
      <c r="AL186" s="368"/>
      <c r="AM186" s="368"/>
      <c r="AN186" s="368"/>
      <c r="AO186" s="368"/>
      <c r="AP186" s="368"/>
      <c r="AQ186" s="368"/>
      <c r="AR186" s="368"/>
      <c r="AS186" s="368"/>
      <c r="AT186" s="368"/>
      <c r="AU186" s="368"/>
      <c r="AV186" s="368"/>
      <c r="AW186" s="368"/>
      <c r="AX186" s="368"/>
      <c r="AY186" s="368"/>
      <c r="AZ186" s="368"/>
      <c r="BA186" s="368"/>
      <c r="BB186" s="368"/>
      <c r="BC186" s="368"/>
      <c r="BD186" s="368"/>
      <c r="BE186" s="368"/>
      <c r="BF186" s="368"/>
      <c r="BG186" s="368"/>
      <c r="BH186" s="368"/>
      <c r="BI186" s="368"/>
      <c r="BJ186" s="368"/>
      <c r="BK186" s="368"/>
      <c r="BL186" s="368"/>
      <c r="BM186" s="368"/>
      <c r="BN186" s="368"/>
      <c r="BO186" s="368"/>
      <c r="BP186" s="368"/>
      <c r="BQ186" s="368"/>
    </row>
    <row r="187" spans="1:69" s="369" customFormat="1" ht="16.5" customHeight="1" x14ac:dyDescent="0.2">
      <c r="A187" s="62"/>
      <c r="B187" s="1"/>
      <c r="C187" s="104"/>
      <c r="D187" s="104" t="s">
        <v>388</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283"/>
      <c r="AK187" s="368"/>
      <c r="AL187" s="368"/>
      <c r="AM187" s="368"/>
      <c r="AN187" s="368"/>
      <c r="AO187" s="368"/>
      <c r="AP187" s="368"/>
      <c r="AQ187" s="368"/>
      <c r="AR187" s="368"/>
      <c r="AS187" s="368"/>
      <c r="AT187" s="368"/>
      <c r="AU187" s="368"/>
      <c r="AV187" s="368"/>
      <c r="AW187" s="368"/>
      <c r="AX187" s="368"/>
      <c r="AY187" s="368"/>
      <c r="AZ187" s="368"/>
      <c r="BA187" s="368"/>
      <c r="BB187" s="368"/>
      <c r="BC187" s="368"/>
      <c r="BD187" s="368"/>
      <c r="BE187" s="368"/>
      <c r="BF187" s="368"/>
      <c r="BG187" s="368"/>
      <c r="BH187" s="368"/>
      <c r="BI187" s="368"/>
      <c r="BJ187" s="368"/>
      <c r="BK187" s="368"/>
      <c r="BL187" s="368"/>
      <c r="BM187" s="368"/>
      <c r="BN187" s="368"/>
      <c r="BO187" s="368"/>
      <c r="BP187" s="368"/>
      <c r="BQ187" s="368"/>
    </row>
    <row r="188" spans="1:69" s="369" customFormat="1" ht="16.5" customHeight="1" x14ac:dyDescent="0.2">
      <c r="A188" s="62"/>
      <c r="B188" s="1"/>
      <c r="C188" s="104"/>
      <c r="D188" s="104" t="s">
        <v>389</v>
      </c>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283"/>
      <c r="AK188" s="368"/>
      <c r="AL188" s="368"/>
      <c r="AM188" s="368"/>
      <c r="AN188" s="368"/>
      <c r="AO188" s="368"/>
      <c r="AP188" s="368"/>
      <c r="AQ188" s="368"/>
      <c r="AR188" s="368"/>
      <c r="AS188" s="368"/>
      <c r="AT188" s="368"/>
      <c r="AU188" s="368"/>
      <c r="AV188" s="368"/>
      <c r="AW188" s="368"/>
      <c r="AX188" s="368"/>
      <c r="AY188" s="368"/>
      <c r="AZ188" s="368"/>
      <c r="BA188" s="368"/>
      <c r="BB188" s="368"/>
      <c r="BC188" s="368"/>
      <c r="BD188" s="368"/>
      <c r="BE188" s="368"/>
      <c r="BF188" s="368"/>
      <c r="BG188" s="368"/>
      <c r="BH188" s="368"/>
      <c r="BI188" s="368"/>
      <c r="BJ188" s="368"/>
      <c r="BK188" s="368"/>
      <c r="BL188" s="368"/>
      <c r="BM188" s="368"/>
      <c r="BN188" s="368"/>
      <c r="BO188" s="368"/>
      <c r="BP188" s="368"/>
      <c r="BQ188" s="368"/>
    </row>
    <row r="189" spans="1:69" ht="14.25" customHeight="1" thickBot="1" x14ac:dyDescent="0.25">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row>
    <row r="190" spans="1:69" ht="14.25" customHeight="1" x14ac:dyDescent="0.2">
      <c r="B190" s="523" t="s">
        <v>3</v>
      </c>
      <c r="C190" s="523"/>
      <c r="D190" s="523"/>
      <c r="E190" s="523"/>
      <c r="F190" s="523"/>
      <c r="G190" s="523"/>
      <c r="H190" s="523"/>
      <c r="I190" s="523"/>
      <c r="J190" s="523"/>
      <c r="K190" s="523"/>
      <c r="L190" s="523"/>
      <c r="M190" s="523"/>
      <c r="N190" s="523"/>
      <c r="O190" s="523"/>
      <c r="P190" s="523"/>
      <c r="Q190" s="523"/>
      <c r="R190" s="523"/>
      <c r="S190" s="523"/>
      <c r="T190" s="523"/>
      <c r="U190" s="523"/>
      <c r="V190" s="523"/>
      <c r="W190" s="523"/>
      <c r="X190" s="523"/>
      <c r="Y190" s="523"/>
      <c r="Z190" s="523"/>
      <c r="AA190" s="523"/>
      <c r="AB190" s="523"/>
      <c r="AC190" s="523"/>
      <c r="AD190" s="523"/>
      <c r="AE190" s="523"/>
      <c r="AF190" s="523"/>
      <c r="AG190" s="523"/>
      <c r="AH190" s="523"/>
    </row>
    <row r="191" spans="1:69" ht="14.25" customHeight="1" x14ac:dyDescent="0.2">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28"/>
      <c r="Y191" s="28"/>
      <c r="Z191" s="28"/>
      <c r="AA191" s="28"/>
      <c r="AB191" s="28"/>
      <c r="AC191" s="28"/>
      <c r="AD191" s="28"/>
      <c r="AE191" s="28"/>
      <c r="AF191" s="28"/>
      <c r="AG191" s="28"/>
      <c r="AH191" s="28"/>
    </row>
    <row r="192" spans="1:69" ht="14.25" customHeight="1" x14ac:dyDescent="0.2">
      <c r="B192" s="514"/>
      <c r="C192" s="515"/>
      <c r="D192" s="515"/>
      <c r="E192" s="515"/>
      <c r="F192" s="515"/>
      <c r="G192" s="515"/>
      <c r="H192" s="515"/>
      <c r="I192" s="515"/>
      <c r="J192" s="515"/>
      <c r="K192" s="515"/>
      <c r="L192" s="515"/>
      <c r="M192" s="515"/>
      <c r="N192" s="515"/>
      <c r="O192" s="515"/>
      <c r="P192" s="515"/>
      <c r="Q192" s="515"/>
      <c r="R192" s="515"/>
      <c r="S192" s="515"/>
      <c r="T192" s="515"/>
      <c r="U192" s="515"/>
      <c r="V192" s="515"/>
      <c r="W192" s="515"/>
      <c r="X192" s="515"/>
      <c r="Y192" s="515"/>
      <c r="Z192" s="515"/>
      <c r="AA192" s="515"/>
      <c r="AB192" s="515"/>
      <c r="AC192" s="515"/>
      <c r="AD192" s="515"/>
      <c r="AE192" s="515"/>
      <c r="AF192" s="515"/>
      <c r="AG192" s="516"/>
      <c r="AH192" s="28"/>
    </row>
    <row r="193" spans="2:34" ht="14.25" customHeight="1" x14ac:dyDescent="0.2">
      <c r="B193" s="517"/>
      <c r="C193" s="518"/>
      <c r="D193" s="518"/>
      <c r="E193" s="518"/>
      <c r="F193" s="518"/>
      <c r="G193" s="518"/>
      <c r="H193" s="518"/>
      <c r="I193" s="518"/>
      <c r="J193" s="518"/>
      <c r="K193" s="518"/>
      <c r="L193" s="518"/>
      <c r="M193" s="518"/>
      <c r="N193" s="518"/>
      <c r="O193" s="518"/>
      <c r="P193" s="518"/>
      <c r="Q193" s="518"/>
      <c r="R193" s="518"/>
      <c r="S193" s="518"/>
      <c r="T193" s="518"/>
      <c r="U193" s="518"/>
      <c r="V193" s="518"/>
      <c r="W193" s="518"/>
      <c r="X193" s="518"/>
      <c r="Y193" s="518"/>
      <c r="Z193" s="518"/>
      <c r="AA193" s="518"/>
      <c r="AB193" s="518"/>
      <c r="AC193" s="518"/>
      <c r="AD193" s="518"/>
      <c r="AE193" s="518"/>
      <c r="AF193" s="518"/>
      <c r="AG193" s="519"/>
      <c r="AH193" s="28"/>
    </row>
    <row r="194" spans="2:34" ht="14.25" customHeight="1" x14ac:dyDescent="0.2">
      <c r="B194" s="517"/>
      <c r="C194" s="518"/>
      <c r="D194" s="518"/>
      <c r="E194" s="518"/>
      <c r="F194" s="518"/>
      <c r="G194" s="518"/>
      <c r="H194" s="518"/>
      <c r="I194" s="518"/>
      <c r="J194" s="518"/>
      <c r="K194" s="518"/>
      <c r="L194" s="518"/>
      <c r="M194" s="518"/>
      <c r="N194" s="518"/>
      <c r="O194" s="518"/>
      <c r="P194" s="518"/>
      <c r="Q194" s="518"/>
      <c r="R194" s="518"/>
      <c r="S194" s="518"/>
      <c r="T194" s="518"/>
      <c r="U194" s="518"/>
      <c r="V194" s="518"/>
      <c r="W194" s="518"/>
      <c r="X194" s="518"/>
      <c r="Y194" s="518"/>
      <c r="Z194" s="518"/>
      <c r="AA194" s="518"/>
      <c r="AB194" s="518"/>
      <c r="AC194" s="518"/>
      <c r="AD194" s="518"/>
      <c r="AE194" s="518"/>
      <c r="AF194" s="518"/>
      <c r="AG194" s="519"/>
      <c r="AH194" s="28"/>
    </row>
    <row r="195" spans="2:34" ht="15" customHeight="1" x14ac:dyDescent="0.2">
      <c r="B195" s="517"/>
      <c r="C195" s="518"/>
      <c r="D195" s="518"/>
      <c r="E195" s="518"/>
      <c r="F195" s="518"/>
      <c r="G195" s="518"/>
      <c r="H195" s="518"/>
      <c r="I195" s="518"/>
      <c r="J195" s="518"/>
      <c r="K195" s="518"/>
      <c r="L195" s="518"/>
      <c r="M195" s="518"/>
      <c r="N195" s="518"/>
      <c r="O195" s="518"/>
      <c r="P195" s="518"/>
      <c r="Q195" s="518"/>
      <c r="R195" s="518"/>
      <c r="S195" s="518"/>
      <c r="T195" s="518"/>
      <c r="U195" s="518"/>
      <c r="V195" s="518"/>
      <c r="W195" s="518"/>
      <c r="X195" s="518"/>
      <c r="Y195" s="518"/>
      <c r="Z195" s="518"/>
      <c r="AA195" s="518"/>
      <c r="AB195" s="518"/>
      <c r="AC195" s="518"/>
      <c r="AD195" s="518"/>
      <c r="AE195" s="518"/>
      <c r="AF195" s="518"/>
      <c r="AG195" s="519"/>
      <c r="AH195" s="28"/>
    </row>
    <row r="196" spans="2:34" ht="11.25" customHeight="1" x14ac:dyDescent="0.2">
      <c r="B196" s="517"/>
      <c r="C196" s="518"/>
      <c r="D196" s="518"/>
      <c r="E196" s="518"/>
      <c r="F196" s="518"/>
      <c r="G196" s="518"/>
      <c r="H196" s="518"/>
      <c r="I196" s="518"/>
      <c r="J196" s="518"/>
      <c r="K196" s="518"/>
      <c r="L196" s="518"/>
      <c r="M196" s="518"/>
      <c r="N196" s="518"/>
      <c r="O196" s="518"/>
      <c r="P196" s="518"/>
      <c r="Q196" s="518"/>
      <c r="R196" s="518"/>
      <c r="S196" s="518"/>
      <c r="T196" s="518"/>
      <c r="U196" s="518"/>
      <c r="V196" s="518"/>
      <c r="W196" s="518"/>
      <c r="X196" s="518"/>
      <c r="Y196" s="518"/>
      <c r="Z196" s="518"/>
      <c r="AA196" s="518"/>
      <c r="AB196" s="518"/>
      <c r="AC196" s="518"/>
      <c r="AD196" s="518"/>
      <c r="AE196" s="518"/>
      <c r="AF196" s="518"/>
      <c r="AG196" s="519"/>
      <c r="AH196" s="28"/>
    </row>
    <row r="197" spans="2:34" ht="11.25" customHeight="1" x14ac:dyDescent="0.2">
      <c r="B197" s="520"/>
      <c r="C197" s="521"/>
      <c r="D197" s="521"/>
      <c r="E197" s="521"/>
      <c r="F197" s="521"/>
      <c r="G197" s="521"/>
      <c r="H197" s="521"/>
      <c r="I197" s="521"/>
      <c r="J197" s="521"/>
      <c r="K197" s="521"/>
      <c r="L197" s="521"/>
      <c r="M197" s="521"/>
      <c r="N197" s="521"/>
      <c r="O197" s="521"/>
      <c r="P197" s="521"/>
      <c r="Q197" s="521"/>
      <c r="R197" s="521"/>
      <c r="S197" s="521"/>
      <c r="T197" s="521"/>
      <c r="U197" s="521"/>
      <c r="V197" s="521"/>
      <c r="W197" s="521"/>
      <c r="X197" s="521"/>
      <c r="Y197" s="521"/>
      <c r="Z197" s="521"/>
      <c r="AA197" s="521"/>
      <c r="AB197" s="521"/>
      <c r="AC197" s="521"/>
      <c r="AD197" s="521"/>
      <c r="AE197" s="521"/>
      <c r="AF197" s="521"/>
      <c r="AG197" s="522"/>
      <c r="AH197" s="28"/>
    </row>
    <row r="198" spans="2:34" ht="11.25" customHeight="1" thickBot="1" x14ac:dyDescent="0.25">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row>
    <row r="199" spans="2:34" ht="11.25" customHeight="1" x14ac:dyDescent="0.2">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row>
    <row r="200" spans="2:34" ht="11.25" customHeight="1" x14ac:dyDescent="0.2">
      <c r="B200" s="523" t="s">
        <v>4</v>
      </c>
      <c r="C200" s="523"/>
      <c r="D200" s="523"/>
      <c r="E200" s="523"/>
      <c r="F200" s="523"/>
      <c r="G200" s="523"/>
      <c r="H200" s="524" t="s">
        <v>9</v>
      </c>
      <c r="I200" s="525"/>
      <c r="J200" s="525"/>
      <c r="K200" s="525"/>
      <c r="L200" s="525"/>
      <c r="M200" s="525"/>
      <c r="N200" s="525"/>
      <c r="O200" s="525"/>
      <c r="P200" s="525"/>
      <c r="Q200" s="525"/>
      <c r="R200" s="525"/>
      <c r="S200" s="525"/>
      <c r="T200" s="526"/>
      <c r="U200" s="530" t="s">
        <v>220</v>
      </c>
      <c r="V200" s="531"/>
      <c r="W200" s="531"/>
      <c r="X200" s="531"/>
      <c r="Y200" s="531"/>
      <c r="Z200" s="531"/>
      <c r="AA200" s="531"/>
      <c r="AB200" s="531"/>
      <c r="AC200" s="531"/>
      <c r="AD200" s="531"/>
      <c r="AE200" s="531"/>
      <c r="AF200" s="531"/>
      <c r="AG200" s="532"/>
      <c r="AH200" s="28"/>
    </row>
    <row r="201" spans="2:34" ht="11.25" customHeight="1" thickBot="1" x14ac:dyDescent="0.25">
      <c r="B201" s="198"/>
      <c r="C201" s="198"/>
      <c r="D201" s="198"/>
      <c r="E201" s="198"/>
      <c r="F201" s="198"/>
      <c r="G201" s="198"/>
      <c r="H201" s="527"/>
      <c r="I201" s="528"/>
      <c r="J201" s="528"/>
      <c r="K201" s="528"/>
      <c r="L201" s="528"/>
      <c r="M201" s="528"/>
      <c r="N201" s="528"/>
      <c r="O201" s="528"/>
      <c r="P201" s="528"/>
      <c r="Q201" s="528"/>
      <c r="R201" s="528"/>
      <c r="S201" s="528"/>
      <c r="T201" s="529"/>
      <c r="U201" s="533"/>
      <c r="V201" s="534"/>
      <c r="W201" s="534"/>
      <c r="X201" s="534"/>
      <c r="Y201" s="534"/>
      <c r="Z201" s="534"/>
      <c r="AA201" s="534"/>
      <c r="AB201" s="534"/>
      <c r="AC201" s="534"/>
      <c r="AD201" s="534"/>
      <c r="AE201" s="534"/>
      <c r="AF201" s="534"/>
      <c r="AG201" s="535"/>
      <c r="AH201" s="28"/>
    </row>
    <row r="202" spans="2:34" ht="11.25" customHeight="1" x14ac:dyDescent="0.2">
      <c r="B202" s="17"/>
      <c r="C202" s="536" t="s">
        <v>7</v>
      </c>
      <c r="D202" s="536"/>
      <c r="E202" s="536"/>
      <c r="F202" s="536"/>
      <c r="G202" s="536"/>
      <c r="H202" s="537"/>
      <c r="I202" s="538"/>
      <c r="J202" s="538"/>
      <c r="K202" s="538"/>
      <c r="L202" s="538"/>
      <c r="M202" s="538"/>
      <c r="N202" s="538"/>
      <c r="O202" s="538"/>
      <c r="P202" s="538"/>
      <c r="Q202" s="538"/>
      <c r="R202" s="538"/>
      <c r="S202" s="538"/>
      <c r="T202" s="539"/>
      <c r="U202" s="540"/>
      <c r="V202" s="541"/>
      <c r="W202" s="541"/>
      <c r="X202" s="541"/>
      <c r="Y202" s="541"/>
      <c r="Z202" s="541"/>
      <c r="AA202" s="541"/>
      <c r="AB202" s="541"/>
      <c r="AC202" s="541"/>
      <c r="AD202" s="541"/>
      <c r="AE202" s="541"/>
      <c r="AF202" s="541"/>
      <c r="AG202" s="542"/>
      <c r="AH202" s="28"/>
    </row>
    <row r="203" spans="2:34" ht="11.25" customHeight="1" x14ac:dyDescent="0.2">
      <c r="B203" s="17"/>
      <c r="C203" s="536"/>
      <c r="D203" s="536"/>
      <c r="E203" s="536"/>
      <c r="F203" s="536"/>
      <c r="G203" s="536"/>
      <c r="H203" s="543"/>
      <c r="I203" s="544"/>
      <c r="J203" s="544"/>
      <c r="K203" s="544"/>
      <c r="L203" s="544"/>
      <c r="M203" s="544"/>
      <c r="N203" s="544"/>
      <c r="O203" s="544"/>
      <c r="P203" s="544"/>
      <c r="Q203" s="544"/>
      <c r="R203" s="544"/>
      <c r="S203" s="544"/>
      <c r="T203" s="545"/>
      <c r="U203" s="546"/>
      <c r="V203" s="547"/>
      <c r="W203" s="547"/>
      <c r="X203" s="547"/>
      <c r="Y203" s="547"/>
      <c r="Z203" s="547"/>
      <c r="AA203" s="547"/>
      <c r="AB203" s="547"/>
      <c r="AC203" s="547"/>
      <c r="AD203" s="547"/>
      <c r="AE203" s="547"/>
      <c r="AF203" s="547"/>
      <c r="AG203" s="548"/>
      <c r="AH203" s="28"/>
    </row>
    <row r="204" spans="2:34" ht="20.85" customHeight="1" x14ac:dyDescent="0.2">
      <c r="B204" s="19"/>
      <c r="C204" s="558" t="s">
        <v>5</v>
      </c>
      <c r="D204" s="558"/>
      <c r="E204" s="558"/>
      <c r="F204" s="558"/>
      <c r="G204" s="558"/>
      <c r="H204" s="543"/>
      <c r="I204" s="544"/>
      <c r="J204" s="544"/>
      <c r="K204" s="544"/>
      <c r="L204" s="544"/>
      <c r="M204" s="544"/>
      <c r="N204" s="544"/>
      <c r="O204" s="544"/>
      <c r="P204" s="544"/>
      <c r="Q204" s="544"/>
      <c r="R204" s="544"/>
      <c r="S204" s="544"/>
      <c r="T204" s="545"/>
      <c r="U204" s="559"/>
      <c r="V204" s="560"/>
      <c r="W204" s="560"/>
      <c r="X204" s="560"/>
      <c r="Y204" s="560"/>
      <c r="Z204" s="560"/>
      <c r="AA204" s="560"/>
      <c r="AB204" s="560"/>
      <c r="AC204" s="560"/>
      <c r="AD204" s="560"/>
      <c r="AE204" s="560"/>
      <c r="AF204" s="560"/>
      <c r="AG204" s="561"/>
      <c r="AH204" s="28"/>
    </row>
    <row r="205" spans="2:34" x14ac:dyDescent="0.2">
      <c r="B205" s="19"/>
      <c r="C205" s="558" t="s">
        <v>6</v>
      </c>
      <c r="D205" s="558"/>
      <c r="E205" s="558"/>
      <c r="F205" s="558"/>
      <c r="G205" s="558"/>
      <c r="H205" s="543"/>
      <c r="I205" s="544"/>
      <c r="J205" s="544"/>
      <c r="K205" s="544"/>
      <c r="L205" s="544"/>
      <c r="M205" s="544"/>
      <c r="N205" s="544"/>
      <c r="O205" s="544"/>
      <c r="P205" s="544"/>
      <c r="Q205" s="544"/>
      <c r="R205" s="544"/>
      <c r="S205" s="544"/>
      <c r="T205" s="545"/>
      <c r="U205" s="559"/>
      <c r="V205" s="560"/>
      <c r="W205" s="560"/>
      <c r="X205" s="560"/>
      <c r="Y205" s="560"/>
      <c r="Z205" s="560"/>
      <c r="AA205" s="560"/>
      <c r="AB205" s="560"/>
      <c r="AC205" s="560"/>
      <c r="AD205" s="560"/>
      <c r="AE205" s="560"/>
      <c r="AF205" s="560"/>
      <c r="AG205" s="561"/>
      <c r="AH205" s="28"/>
    </row>
    <row r="206" spans="2:34" x14ac:dyDescent="0.2">
      <c r="B206" s="17"/>
      <c r="C206" s="536" t="s">
        <v>8</v>
      </c>
      <c r="D206" s="536"/>
      <c r="E206" s="536"/>
      <c r="F206" s="536"/>
      <c r="G206" s="536"/>
      <c r="H206" s="543"/>
      <c r="I206" s="544"/>
      <c r="J206" s="544"/>
      <c r="K206" s="544"/>
      <c r="L206" s="544"/>
      <c r="M206" s="544"/>
      <c r="N206" s="544"/>
      <c r="O206" s="544"/>
      <c r="P206" s="544"/>
      <c r="Q206" s="544"/>
      <c r="R206" s="544"/>
      <c r="S206" s="544"/>
      <c r="T206" s="545"/>
      <c r="U206" s="549"/>
      <c r="V206" s="550"/>
      <c r="W206" s="550"/>
      <c r="X206" s="550"/>
      <c r="Y206" s="550"/>
      <c r="Z206" s="550"/>
      <c r="AA206" s="550"/>
      <c r="AB206" s="550"/>
      <c r="AC206" s="550"/>
      <c r="AD206" s="550"/>
      <c r="AE206" s="550"/>
      <c r="AF206" s="550"/>
      <c r="AG206" s="551"/>
      <c r="AH206" s="28"/>
    </row>
    <row r="207" spans="2:34" x14ac:dyDescent="0.2">
      <c r="B207" s="17"/>
      <c r="C207" s="536"/>
      <c r="D207" s="536"/>
      <c r="E207" s="536"/>
      <c r="F207" s="536"/>
      <c r="G207" s="536"/>
      <c r="H207" s="552"/>
      <c r="I207" s="553"/>
      <c r="J207" s="553"/>
      <c r="K207" s="553"/>
      <c r="L207" s="553"/>
      <c r="M207" s="553"/>
      <c r="N207" s="553"/>
      <c r="O207" s="553"/>
      <c r="P207" s="553"/>
      <c r="Q207" s="553"/>
      <c r="R207" s="553"/>
      <c r="S207" s="553"/>
      <c r="T207" s="554"/>
      <c r="U207" s="555"/>
      <c r="V207" s="556"/>
      <c r="W207" s="556"/>
      <c r="X207" s="556"/>
      <c r="Y207" s="556"/>
      <c r="Z207" s="556"/>
      <c r="AA207" s="556"/>
      <c r="AB207" s="556"/>
      <c r="AC207" s="556"/>
      <c r="AD207" s="556"/>
      <c r="AE207" s="556"/>
      <c r="AF207" s="556"/>
      <c r="AG207" s="557"/>
      <c r="AH207" s="28"/>
    </row>
    <row r="208" spans="2:34" ht="20.100000000000001" customHeight="1" x14ac:dyDescent="0.2">
      <c r="B208" s="28"/>
      <c r="C208" s="28"/>
      <c r="D208" s="28"/>
      <c r="E208" s="28"/>
      <c r="F208" s="28"/>
      <c r="G208" s="28"/>
      <c r="H208" s="28"/>
      <c r="I208" s="28"/>
      <c r="J208" s="28"/>
      <c r="K208" s="28"/>
      <c r="L208" s="28"/>
      <c r="M208" s="28"/>
      <c r="N208" s="28"/>
      <c r="O208" s="28"/>
      <c r="P208" s="28"/>
      <c r="Q208" s="28"/>
      <c r="R208" s="28"/>
      <c r="S208" s="28"/>
      <c r="T208" s="28"/>
      <c r="V208" s="28"/>
      <c r="W208" s="28"/>
      <c r="X208" s="28"/>
      <c r="Y208" s="28"/>
      <c r="Z208" s="28"/>
      <c r="AA208" s="28"/>
      <c r="AB208" s="28"/>
      <c r="AC208" s="28"/>
      <c r="AD208" s="28"/>
      <c r="AE208" s="28"/>
      <c r="AF208" s="28"/>
      <c r="AG208" s="43" t="s">
        <v>713</v>
      </c>
      <c r="AH208" s="28"/>
    </row>
  </sheetData>
  <sheetProtection algorithmName="SHA-512" hashValue="e7Fwprg/yAdO5wm1vGGiMnJnP1OTvZeC3gYcLIMppOMWOOOXqCZj+//dq9cqgRvJgH+N9IPBnLvphVJ6hTgSRw==" saltValue="hwNClI6Ibc1Ztto3BPJN1w==" spinCount="100000" sheet="1" formatCells="0" selectLockedCells="1"/>
  <mergeCells count="193">
    <mergeCell ref="AT155:AT157"/>
    <mergeCell ref="AU155:AU157"/>
    <mergeCell ref="AT158:AT164"/>
    <mergeCell ref="B153:F153"/>
    <mergeCell ref="G153:I153"/>
    <mergeCell ref="AB153:AG153"/>
    <mergeCell ref="B152:F152"/>
    <mergeCell ref="J153:N153"/>
    <mergeCell ref="AU158:AU164"/>
    <mergeCell ref="AF158:AG158"/>
    <mergeCell ref="AF159:AG159"/>
    <mergeCell ref="AB158:AE158"/>
    <mergeCell ref="AB159:AE159"/>
    <mergeCell ref="AQ163:AQ164"/>
    <mergeCell ref="AP163:AP164"/>
    <mergeCell ref="AQ159:AQ160"/>
    <mergeCell ref="AP159:AP160"/>
    <mergeCell ref="AQ161:AQ162"/>
    <mergeCell ref="AP161:AP162"/>
    <mergeCell ref="B161:AH163"/>
    <mergeCell ref="G152:I152"/>
    <mergeCell ref="O153:S153"/>
    <mergeCell ref="J152:N152"/>
    <mergeCell ref="B106:N106"/>
    <mergeCell ref="N109:P109"/>
    <mergeCell ref="L116:N116"/>
    <mergeCell ref="AB150:AG151"/>
    <mergeCell ref="AD134:AE134"/>
    <mergeCell ref="L133:M133"/>
    <mergeCell ref="N133:O133"/>
    <mergeCell ref="P133:Q133"/>
    <mergeCell ref="T134:U134"/>
    <mergeCell ref="V134:W134"/>
    <mergeCell ref="X134:Y134"/>
    <mergeCell ref="B138:AH139"/>
    <mergeCell ref="K136:M136"/>
    <mergeCell ref="AB134:AC134"/>
    <mergeCell ref="AB133:AC133"/>
    <mergeCell ref="AF134:AH134"/>
    <mergeCell ref="R132:S132"/>
    <mergeCell ref="N134:O134"/>
    <mergeCell ref="P134:Q134"/>
    <mergeCell ref="B142:Y142"/>
    <mergeCell ref="B150:F151"/>
    <mergeCell ref="G150:I151"/>
    <mergeCell ref="J150:N151"/>
    <mergeCell ref="O130:P130"/>
    <mergeCell ref="AD132:AE132"/>
    <mergeCell ref="AD133:AE133"/>
    <mergeCell ref="B113:U113"/>
    <mergeCell ref="B112:U112"/>
    <mergeCell ref="T132:U132"/>
    <mergeCell ref="V132:W132"/>
    <mergeCell ref="X132:Y132"/>
    <mergeCell ref="N132:O132"/>
    <mergeCell ref="L132:M132"/>
    <mergeCell ref="L115:N115"/>
    <mergeCell ref="H56:J56"/>
    <mergeCell ref="AC60:AE60"/>
    <mergeCell ref="N100:P100"/>
    <mergeCell ref="P87:Q87"/>
    <mergeCell ref="AC61:AE61"/>
    <mergeCell ref="AF60:AG60"/>
    <mergeCell ref="AF61:AG61"/>
    <mergeCell ref="AC65:AE65"/>
    <mergeCell ref="AF65:AG65"/>
    <mergeCell ref="AE85:AF85"/>
    <mergeCell ref="AE86:AF86"/>
    <mergeCell ref="AB75:AG76"/>
    <mergeCell ref="D70:AA71"/>
    <mergeCell ref="D92:V93"/>
    <mergeCell ref="AC89:AE89"/>
    <mergeCell ref="AF89:AG89"/>
    <mergeCell ref="N96:P96"/>
    <mergeCell ref="B80:AG81"/>
    <mergeCell ref="AE83:AF83"/>
    <mergeCell ref="AE100:AF100"/>
    <mergeCell ref="AC70:AI73"/>
    <mergeCell ref="B2:F5"/>
    <mergeCell ref="G2:O5"/>
    <mergeCell ref="P2:Y5"/>
    <mergeCell ref="Z2:AH5"/>
    <mergeCell ref="B7:E7"/>
    <mergeCell ref="F7:P7"/>
    <mergeCell ref="Q7:T7"/>
    <mergeCell ref="U7:Z7"/>
    <mergeCell ref="AE7:AH7"/>
    <mergeCell ref="N102:P102"/>
    <mergeCell ref="N103:P103"/>
    <mergeCell ref="AE102:AF102"/>
    <mergeCell ref="N83:P83"/>
    <mergeCell ref="N85:P85"/>
    <mergeCell ref="N86:P86"/>
    <mergeCell ref="AE103:AF103"/>
    <mergeCell ref="B9:D9"/>
    <mergeCell ref="H29:J29"/>
    <mergeCell ref="Q29:S29"/>
    <mergeCell ref="T29:U29"/>
    <mergeCell ref="X29:Y29"/>
    <mergeCell ref="F23:G23"/>
    <mergeCell ref="S23:AH24"/>
    <mergeCell ref="F9:AH9"/>
    <mergeCell ref="D52:AB53"/>
    <mergeCell ref="AC33:AE33"/>
    <mergeCell ref="AF33:AG33"/>
    <mergeCell ref="AC34:AE34"/>
    <mergeCell ref="AF34:AG34"/>
    <mergeCell ref="H40:J40"/>
    <mergeCell ref="E33:M35"/>
    <mergeCell ref="AC48:AE48"/>
    <mergeCell ref="AF48:AG48"/>
    <mergeCell ref="AC49:AE49"/>
    <mergeCell ref="AF49:AG49"/>
    <mergeCell ref="M40:AH41"/>
    <mergeCell ref="B190:AH190"/>
    <mergeCell ref="AB167:AG167"/>
    <mergeCell ref="I169:Z169"/>
    <mergeCell ref="AB169:AG169"/>
    <mergeCell ref="AB154:AG154"/>
    <mergeCell ref="O156:S156"/>
    <mergeCell ref="B154:F154"/>
    <mergeCell ref="G154:I154"/>
    <mergeCell ref="J154:N154"/>
    <mergeCell ref="O154:S154"/>
    <mergeCell ref="T154:Z154"/>
    <mergeCell ref="AB155:AG155"/>
    <mergeCell ref="AB156:AG156"/>
    <mergeCell ref="T155:Z155"/>
    <mergeCell ref="AB168:AG168"/>
    <mergeCell ref="B155:F155"/>
    <mergeCell ref="G155:I155"/>
    <mergeCell ref="J155:N155"/>
    <mergeCell ref="D182:AH182"/>
    <mergeCell ref="L117:N117"/>
    <mergeCell ref="P132:Q132"/>
    <mergeCell ref="C206:G207"/>
    <mergeCell ref="H206:T206"/>
    <mergeCell ref="U206:AG206"/>
    <mergeCell ref="H207:T207"/>
    <mergeCell ref="U207:AG207"/>
    <mergeCell ref="C204:G204"/>
    <mergeCell ref="H204:T204"/>
    <mergeCell ref="U204:AG204"/>
    <mergeCell ref="C205:G205"/>
    <mergeCell ref="H205:T205"/>
    <mergeCell ref="U205:AG205"/>
    <mergeCell ref="B192:AG197"/>
    <mergeCell ref="B200:G200"/>
    <mergeCell ref="H200:T201"/>
    <mergeCell ref="U200:AG201"/>
    <mergeCell ref="C202:G203"/>
    <mergeCell ref="H202:T202"/>
    <mergeCell ref="U202:AG202"/>
    <mergeCell ref="H203:T203"/>
    <mergeCell ref="U203:AG203"/>
    <mergeCell ref="Z133:AA133"/>
    <mergeCell ref="R134:S134"/>
    <mergeCell ref="AF133:AH133"/>
    <mergeCell ref="O150:S151"/>
    <mergeCell ref="T150:Z151"/>
    <mergeCell ref="T153:Z153"/>
    <mergeCell ref="O155:S155"/>
    <mergeCell ref="AB152:AG152"/>
    <mergeCell ref="O152:S152"/>
    <mergeCell ref="T152:Z152"/>
    <mergeCell ref="R133:S133"/>
    <mergeCell ref="T133:U133"/>
    <mergeCell ref="V133:W133"/>
    <mergeCell ref="X133:Y133"/>
    <mergeCell ref="AF29:AG29"/>
    <mergeCell ref="B107:N108"/>
    <mergeCell ref="AW93:BC93"/>
    <mergeCell ref="BD93:BG93"/>
    <mergeCell ref="AK111:AM111"/>
    <mergeCell ref="Z132:AA132"/>
    <mergeCell ref="AB132:AC132"/>
    <mergeCell ref="F134:G134"/>
    <mergeCell ref="H134:I134"/>
    <mergeCell ref="U122:V122"/>
    <mergeCell ref="Y119:AH122"/>
    <mergeCell ref="U119:V119"/>
    <mergeCell ref="U120:V120"/>
    <mergeCell ref="J134:K134"/>
    <mergeCell ref="L134:M134"/>
    <mergeCell ref="F133:G133"/>
    <mergeCell ref="H133:I133"/>
    <mergeCell ref="J133:K133"/>
    <mergeCell ref="AC124:AE124"/>
    <mergeCell ref="AF124:AG124"/>
    <mergeCell ref="F132:G132"/>
    <mergeCell ref="H132:I132"/>
    <mergeCell ref="J132:K132"/>
    <mergeCell ref="Z134:AA134"/>
  </mergeCells>
  <conditionalFormatting sqref="A88:T89 V88:Z89 AB88:AB89">
    <cfRule type="expression" dxfId="299" priority="62">
      <formula>$AM$17=FALSE</formula>
    </cfRule>
  </conditionalFormatting>
  <conditionalFormatting sqref="A74:X74">
    <cfRule type="expression" dxfId="298" priority="114">
      <formula>$AM$17=FALSE</formula>
    </cfRule>
  </conditionalFormatting>
  <conditionalFormatting sqref="A75:Y77">
    <cfRule type="expression" dxfId="297" priority="115">
      <formula>$AM$17=FALSE</formula>
    </cfRule>
  </conditionalFormatting>
  <conditionalFormatting sqref="A91:AH106 A107:B107 O107:AH108 A108 A109:AH125">
    <cfRule type="expression" dxfId="296" priority="4">
      <formula>AND($AM$17=TRUE, $AK$17=TRUE)</formula>
    </cfRule>
  </conditionalFormatting>
  <conditionalFormatting sqref="A147:AI159 A165:AI169">
    <cfRule type="expression" dxfId="295" priority="2">
      <formula>$AJ$144=TRUE</formula>
    </cfRule>
  </conditionalFormatting>
  <conditionalFormatting sqref="A69:AJ69 A70:D70 AB70:AB71 A71:C71 A72:Z72 A73:AB73 AI74:AJ74 AA75:AB75 B83:K83 N83 S83:AB83 AE83:AH83 Q83:Q86 B84:O84 B85:N86 S86:AH86 A94:AI98 AH75:AJ75 AI76:AJ77 A78:AI79 A80:B80 AH80:AI81 B82:Q82 G115:Q117 B115:C117 E115:E117 A106:B107 A112:B113 A87:AI87 AH88:AI89 AC89:AG89 A90:AI91 AJ70:AJ73 AJ78:AJ86 A81:A86 AJ88:AJ104 A92:D92 W92:AI93 A93:C93 A99:A103 AI99:AI103 N100 B101:O101 A104:AI104 A105:AJ105 O106:AJ108 A108:A110 H110:Q110 S110:S111 AJ110:AJ125 A111:Q111 S114:S117 A114:A121 C118:E118 G118:AI118 N119:T119 Y119 J119:J120 U119:X121 AI119:AI123 N120:S121 A122:H123 J122:J123 L122:P123 A124:J124 L124:T124 V124:AI124 A126:AI126 AM126:AM127">
    <cfRule type="expression" dxfId="294" priority="119">
      <formula>$AM$17=FALSE</formula>
    </cfRule>
  </conditionalFormatting>
  <conditionalFormatting sqref="B107">
    <cfRule type="expression" dxfId="293" priority="33">
      <formula>OR($B$106=$AK$126,$B$106=$AK$125)</formula>
    </cfRule>
  </conditionalFormatting>
  <conditionalFormatting sqref="B109">
    <cfRule type="expression" dxfId="292" priority="6">
      <formula>$AM$17=FALSE</formula>
    </cfRule>
  </conditionalFormatting>
  <conditionalFormatting sqref="B85:N86 Q83:AI86 B74:Y75 AB70:AC70 B69:AI69 B70:D70 B71:C71 AB71 B72:AB73 AA74:AI74 AA75:AB75 B83:N83 B84:O84">
    <cfRule type="expression" dxfId="291" priority="54">
      <formula>$AK$17=FALSE</formula>
    </cfRule>
  </conditionalFormatting>
  <conditionalFormatting sqref="B102:N103 B99:Q99 B100:K100 S100:AB100 AE100:AH100 Q100:Q103 S103:AH103">
    <cfRule type="expression" dxfId="290" priority="68">
      <formula>$AM$17=FALSE</formula>
    </cfRule>
  </conditionalFormatting>
  <conditionalFormatting sqref="B116:N117">
    <cfRule type="expression" dxfId="289" priority="34">
      <formula>$AK$118=1</formula>
    </cfRule>
  </conditionalFormatting>
  <conditionalFormatting sqref="B113:U113">
    <cfRule type="expression" dxfId="288" priority="12">
      <formula>$B$112&lt;&gt;$AO$80</formula>
    </cfRule>
  </conditionalFormatting>
  <conditionalFormatting sqref="B48:AB49">
    <cfRule type="expression" dxfId="287" priority="46">
      <formula>$AL$17=FALSE</formula>
    </cfRule>
  </conditionalFormatting>
  <conditionalFormatting sqref="B25:AH32">
    <cfRule type="expression" dxfId="286" priority="111">
      <formula>$AK$17=FALSE</formula>
    </cfRule>
  </conditionalFormatting>
  <conditionalFormatting sqref="B36:AH39 B40:M40 B41:L41 B42:AH47">
    <cfRule type="expression" dxfId="285" priority="155">
      <formula>$AL$17=FALSE</formula>
    </cfRule>
  </conditionalFormatting>
  <conditionalFormatting sqref="B125:AH125">
    <cfRule type="expression" dxfId="284" priority="70">
      <formula>$AK$19=FALSE</formula>
    </cfRule>
  </conditionalFormatting>
  <conditionalFormatting sqref="B127:AH135">
    <cfRule type="expression" dxfId="283" priority="38">
      <formula>$AV$158=0</formula>
    </cfRule>
  </conditionalFormatting>
  <conditionalFormatting sqref="B161:AH163">
    <cfRule type="expression" dxfId="282" priority="185">
      <formula>$AJ$155&gt;=$AJ$156</formula>
    </cfRule>
    <cfRule type="expression" dxfId="281" priority="9">
      <formula>$B$161="Il n'y a pas d'installation solaire décrite"</formula>
    </cfRule>
    <cfRule type="expression" dxfId="280" priority="10">
      <formula>$B$161="Compléter la simulation solaire sur site pour que le calcul puisse s'effectuer"</formula>
    </cfRule>
    <cfRule type="expression" dxfId="279" priority="184">
      <formula>$AJ$155&lt;$AJ$156</formula>
    </cfRule>
  </conditionalFormatting>
  <conditionalFormatting sqref="B87:AI90">
    <cfRule type="expression" dxfId="278" priority="7">
      <formula>$AK$17=FALSE</formula>
    </cfRule>
  </conditionalFormatting>
  <conditionalFormatting sqref="C49">
    <cfRule type="cellIs" dxfId="277" priority="176" operator="equal">
      <formula>"Projet non-soumis à l'art.43 LcEne"</formula>
    </cfRule>
  </conditionalFormatting>
  <conditionalFormatting sqref="C109:N109">
    <cfRule type="expression" dxfId="276" priority="30">
      <formula>$AM$17=FALSE</formula>
    </cfRule>
  </conditionalFormatting>
  <conditionalFormatting sqref="D176">
    <cfRule type="expression" dxfId="275" priority="26">
      <formula>$AL$17=FALSE</formula>
    </cfRule>
  </conditionalFormatting>
  <conditionalFormatting sqref="D177">
    <cfRule type="expression" dxfId="274" priority="25">
      <formula>$AV$158=0</formula>
    </cfRule>
  </conditionalFormatting>
  <conditionalFormatting sqref="D178">
    <cfRule type="expression" dxfId="273" priority="206">
      <formula>OR($AK$22=2,$AK$22=0,$AJ$144=TRUE)</formula>
    </cfRule>
  </conditionalFormatting>
  <conditionalFormatting sqref="D179">
    <cfRule type="expression" dxfId="272" priority="22">
      <formula>$AK$12&lt;&gt;1</formula>
    </cfRule>
  </conditionalFormatting>
  <conditionalFormatting sqref="D180">
    <cfRule type="expression" dxfId="271" priority="21">
      <formula>$AK$63=FALSE</formula>
    </cfRule>
  </conditionalFormatting>
  <conditionalFormatting sqref="D181">
    <cfRule type="expression" dxfId="270" priority="20">
      <formula>$AK$43=FALSE</formula>
    </cfRule>
  </conditionalFormatting>
  <conditionalFormatting sqref="D182">
    <cfRule type="expression" dxfId="269" priority="19">
      <formula>$AK$31=FALSE</formula>
    </cfRule>
  </conditionalFormatting>
  <conditionalFormatting sqref="D183">
    <cfRule type="expression" dxfId="268" priority="18">
      <formula>OR(AK90=0,AL90=0,AK104=0,AL104=0)</formula>
    </cfRule>
  </conditionalFormatting>
  <conditionalFormatting sqref="D184">
    <cfRule type="expression" dxfId="267" priority="17">
      <formula>OR($AK$22=1,$AJ$164=0)</formula>
    </cfRule>
  </conditionalFormatting>
  <conditionalFormatting sqref="D185">
    <cfRule type="expression" dxfId="266" priority="16">
      <formula>$AJ$169=0</formula>
    </cfRule>
  </conditionalFormatting>
  <conditionalFormatting sqref="D186">
    <cfRule type="expression" dxfId="265" priority="15">
      <formula>OR($AK$74&lt;&gt;1,$AK$74&lt;&gt;4)</formula>
    </cfRule>
  </conditionalFormatting>
  <conditionalFormatting sqref="D187">
    <cfRule type="expression" dxfId="264" priority="14">
      <formula>$AK$74&lt;&gt;5</formula>
    </cfRule>
  </conditionalFormatting>
  <conditionalFormatting sqref="D188">
    <cfRule type="expression" dxfId="263" priority="13">
      <formula>$AK$46=FALSE</formula>
    </cfRule>
  </conditionalFormatting>
  <conditionalFormatting sqref="D170:AB170 A167:A168 A169:B170">
    <cfRule type="expression" dxfId="262" priority="95">
      <formula>$AK$19=FALSE</formula>
    </cfRule>
  </conditionalFormatting>
  <conditionalFormatting sqref="F117">
    <cfRule type="expression" dxfId="261" priority="37">
      <formula>$AM$17=FALSE</formula>
    </cfRule>
  </conditionalFormatting>
  <conditionalFormatting sqref="K121:K124">
    <cfRule type="expression" dxfId="260" priority="40">
      <formula>$AM$17=FALSE</formula>
    </cfRule>
  </conditionalFormatting>
  <conditionalFormatting sqref="M104:N105">
    <cfRule type="cellIs" dxfId="259" priority="122" operator="equal">
      <formula>0</formula>
    </cfRule>
  </conditionalFormatting>
  <conditionalFormatting sqref="N90">
    <cfRule type="expression" dxfId="258" priority="152">
      <formula>"ou($AC$82&lt;&gt;0;$AC$83&lt;&gt;0)"</formula>
    </cfRule>
  </conditionalFormatting>
  <conditionalFormatting sqref="N85:P85">
    <cfRule type="expression" dxfId="257" priority="49">
      <formula>$N$86&lt;&gt;0</formula>
    </cfRule>
  </conditionalFormatting>
  <conditionalFormatting sqref="N102:P102">
    <cfRule type="expression" dxfId="256" priority="51">
      <formula>$N$103&lt;&gt;0</formula>
    </cfRule>
  </conditionalFormatting>
  <conditionalFormatting sqref="N109:P109">
    <cfRule type="expression" dxfId="255" priority="29">
      <formula>$N$103&lt;&gt;0</formula>
    </cfRule>
  </conditionalFormatting>
  <conditionalFormatting sqref="P115">
    <cfRule type="cellIs" dxfId="254" priority="36" operator="equal">
      <formula>0</formula>
    </cfRule>
  </conditionalFormatting>
  <conditionalFormatting sqref="P116 L122:M123">
    <cfRule type="cellIs" dxfId="253" priority="124" operator="equal">
      <formula>0</formula>
    </cfRule>
  </conditionalFormatting>
  <conditionalFormatting sqref="Q109:AJ109">
    <cfRule type="expression" dxfId="252" priority="32">
      <formula>$AM$17=FALSE</formula>
    </cfRule>
  </conditionalFormatting>
  <conditionalFormatting sqref="S85:AE85">
    <cfRule type="expression" dxfId="251" priority="69">
      <formula>$AM$17=FALSE</formula>
    </cfRule>
  </conditionalFormatting>
  <conditionalFormatting sqref="S102:AE102">
    <cfRule type="expression" dxfId="250" priority="65">
      <formula>$AM$17=FALSE</formula>
    </cfRule>
  </conditionalFormatting>
  <conditionalFormatting sqref="S84:AH84 S82:AH82">
    <cfRule type="expression" dxfId="249" priority="76">
      <formula>$AM$17=FALSE</formula>
    </cfRule>
  </conditionalFormatting>
  <conditionalFormatting sqref="S99:AH99 S101:AH101">
    <cfRule type="expression" dxfId="248" priority="67">
      <formula>$AM$17=FALSE</formula>
    </cfRule>
  </conditionalFormatting>
  <conditionalFormatting sqref="U122:W123">
    <cfRule type="expression" dxfId="247" priority="41">
      <formula>$AM$17=FALSE</formula>
    </cfRule>
  </conditionalFormatting>
  <conditionalFormatting sqref="W74">
    <cfRule type="expression" dxfId="246" priority="27">
      <formula>$AM$17=FALSE</formula>
    </cfRule>
  </conditionalFormatting>
  <conditionalFormatting sqref="AA89">
    <cfRule type="expression" dxfId="245" priority="8">
      <formula>$AM$17=FALSE</formula>
    </cfRule>
  </conditionalFormatting>
  <conditionalFormatting sqref="AB33">
    <cfRule type="expression" dxfId="244" priority="58">
      <formula>$AK$17=FALSE</formula>
    </cfRule>
  </conditionalFormatting>
  <conditionalFormatting sqref="AB170:AG170">
    <cfRule type="expression" dxfId="243" priority="28">
      <formula>$AP$173&lt;&gt;0</formula>
    </cfRule>
  </conditionalFormatting>
  <conditionalFormatting sqref="AC26">
    <cfRule type="expression" dxfId="242" priority="110">
      <formula>$AK$17=FALSE</formula>
    </cfRule>
    <cfRule type="cellIs" dxfId="241" priority="112" operator="equal">
      <formula>"Projet exempté"</formula>
    </cfRule>
    <cfRule type="cellIs" dxfId="240" priority="113" operator="equal">
      <formula>"Projet soumis"</formula>
    </cfRule>
  </conditionalFormatting>
  <conditionalFormatting sqref="AC37">
    <cfRule type="cellIs" dxfId="239" priority="60" operator="equal">
      <formula>"Projet exempté"</formula>
    </cfRule>
    <cfRule type="cellIs" dxfId="238" priority="61" operator="equal">
      <formula>"Projet soumis"</formula>
    </cfRule>
  </conditionalFormatting>
  <conditionalFormatting sqref="AC37:AC38">
    <cfRule type="expression" dxfId="237" priority="59">
      <formula>$AL$17=FALSE</formula>
    </cfRule>
  </conditionalFormatting>
  <conditionalFormatting sqref="AC38">
    <cfRule type="cellIs" dxfId="236" priority="173" operator="equal">
      <formula>"Projet soumis"</formula>
    </cfRule>
    <cfRule type="cellIs" dxfId="235" priority="172" operator="equal">
      <formula>"Projet exempté"</formula>
    </cfRule>
  </conditionalFormatting>
  <conditionalFormatting sqref="AC56">
    <cfRule type="expression" dxfId="234" priority="82">
      <formula>$AL$17=FALSE</formula>
    </cfRule>
    <cfRule type="expression" dxfId="233" priority="83">
      <formula>$AL$17=FALSE</formula>
    </cfRule>
    <cfRule type="cellIs" dxfId="232" priority="84" operator="equal">
      <formula>"Projet exempté"</formula>
    </cfRule>
    <cfRule type="cellIs" dxfId="231" priority="85" operator="equal">
      <formula>"Projet soumis"</formula>
    </cfRule>
  </conditionalFormatting>
  <conditionalFormatting sqref="AC70">
    <cfRule type="cellIs" dxfId="230" priority="74" operator="equal">
      <formula>"Projet exempté"</formula>
    </cfRule>
    <cfRule type="cellIs" dxfId="229" priority="75" operator="equal">
      <formula>"Projet soumis"</formula>
    </cfRule>
    <cfRule type="expression" dxfId="228" priority="186">
      <formula>"ak74=4"</formula>
    </cfRule>
    <cfRule type="expression" dxfId="227" priority="73">
      <formula>$AM$17=FALSE</formula>
    </cfRule>
  </conditionalFormatting>
  <conditionalFormatting sqref="AC33:AE33">
    <cfRule type="cellIs" dxfId="226" priority="128" operator="equal">
      <formula>0</formula>
    </cfRule>
  </conditionalFormatting>
  <conditionalFormatting sqref="AC48:AE48">
    <cfRule type="cellIs" dxfId="225" priority="127" operator="equal">
      <formula>0</formula>
    </cfRule>
  </conditionalFormatting>
  <conditionalFormatting sqref="AC60:AE60">
    <cfRule type="cellIs" dxfId="224" priority="126" operator="equal">
      <formula>0</formula>
    </cfRule>
  </conditionalFormatting>
  <conditionalFormatting sqref="AC48:AG48">
    <cfRule type="expression" dxfId="223" priority="45">
      <formula>$AC$49&lt;&gt;0</formula>
    </cfRule>
  </conditionalFormatting>
  <conditionalFormatting sqref="AC33:AH34 B33:E33 N33:AA34 B34:D34">
    <cfRule type="expression" dxfId="222" priority="163">
      <formula>$AK$17=FALSE</formula>
    </cfRule>
  </conditionalFormatting>
  <conditionalFormatting sqref="AC48:AH49 B50:AH50">
    <cfRule type="expression" dxfId="221" priority="162">
      <formula>$AL$17=FALSE</formula>
    </cfRule>
  </conditionalFormatting>
  <conditionalFormatting sqref="AC60:AH61 AH167:AI170 B51:AH51 B52:D52 AC52:AH53 B53:C53 B54:AH55 B56:AB56 AD56:AH56 B57:AH59 B60:AA61 B62:AH64 B65:Q65 S65:AA65 AC65:AH65 B66:C67 E66:E67 G66:H67 J66:K67 M66:M67 O66:O67 Q66:AF67 AH66:AH67 B68:AH68">
    <cfRule type="expression" dxfId="220" priority="178">
      <formula>$AK$19=FALSE</formula>
    </cfRule>
  </conditionalFormatting>
  <conditionalFormatting sqref="AC70:AI73">
    <cfRule type="expression" dxfId="219" priority="5">
      <formula>$AK$74=6</formula>
    </cfRule>
  </conditionalFormatting>
  <conditionalFormatting sqref="AD22:AE22 AG22">
    <cfRule type="cellIs" dxfId="218" priority="174" operator="equal">
      <formula>"à renseigner"</formula>
    </cfRule>
  </conditionalFormatting>
  <conditionalFormatting sqref="AD12:AH12">
    <cfRule type="cellIs" dxfId="217" priority="175" operator="equal">
      <formula>"à renseigner"</formula>
    </cfRule>
  </conditionalFormatting>
  <conditionalFormatting sqref="AD38:AH39 AD42:AH42">
    <cfRule type="cellIs" dxfId="216" priority="177" operator="equal">
      <formula>"à renseigner"</formula>
    </cfRule>
  </conditionalFormatting>
  <conditionalFormatting sqref="AE37">
    <cfRule type="cellIs" dxfId="215" priority="168" operator="equal">
      <formula>"à renseigner"</formula>
    </cfRule>
  </conditionalFormatting>
  <conditionalFormatting sqref="AE85:AF85">
    <cfRule type="expression" dxfId="214" priority="48">
      <formula>$AE$86&lt;&gt;0</formula>
    </cfRule>
  </conditionalFormatting>
  <conditionalFormatting sqref="AE102:AF102">
    <cfRule type="expression" dxfId="213" priority="50">
      <formula>$AE$103&lt;&gt;0</formula>
    </cfRule>
  </conditionalFormatting>
  <conditionalFormatting sqref="AF37">
    <cfRule type="expression" dxfId="212" priority="164">
      <formula>$AE$26="pas concerné"</formula>
    </cfRule>
    <cfRule type="cellIs" dxfId="211" priority="165" operator="equal">
      <formula>"pas concerné"</formula>
    </cfRule>
  </conditionalFormatting>
  <conditionalFormatting sqref="AF95">
    <cfRule type="expression" dxfId="210" priority="44">
      <formula>$AK$17=FALSE</formula>
    </cfRule>
  </conditionalFormatting>
  <conditionalFormatting sqref="AF37:AG37">
    <cfRule type="cellIs" dxfId="209" priority="166" operator="equal">
      <formula>"à renseigner"</formula>
    </cfRule>
  </conditionalFormatting>
  <conditionalFormatting sqref="AG85:AH85">
    <cfRule type="expression" dxfId="208" priority="71">
      <formula>$AM$17=FALSE</formula>
    </cfRule>
  </conditionalFormatting>
  <conditionalFormatting sqref="AG102:AH102">
    <cfRule type="expression" dxfId="207" priority="66">
      <formula>$AM$17=FALSE</formula>
    </cfRule>
  </conditionalFormatting>
  <conditionalFormatting sqref="AH75:AI76 B76:AA76 B77:AI79 B80 AH80:AI81 B82:AI82">
    <cfRule type="expression" dxfId="206" priority="42">
      <formula>$AK$17=FALSE</formula>
    </cfRule>
  </conditionalFormatting>
  <conditionalFormatting sqref="AU126:AU127">
    <cfRule type="expression" dxfId="205" priority="1">
      <formula>$AM$17=FALSE</formula>
    </cfRule>
  </conditionalFormatting>
  <conditionalFormatting sqref="BF95:BF128">
    <cfRule type="cellIs" dxfId="204" priority="3" operator="equal">
      <formula>2</formula>
    </cfRule>
  </conditionalFormatting>
  <dataValidations count="4">
    <dataValidation type="list" allowBlank="1" showInputMessage="1" showErrorMessage="1" sqref="B112:U112" xr:uid="{00000000-0002-0000-0100-000001000000}">
      <formula1>$AO$80:$AO$84</formula1>
    </dataValidation>
    <dataValidation type="list" showInputMessage="1" showErrorMessage="1" sqref="B106:N106" xr:uid="{00000000-0002-0000-0100-000002000000}">
      <formula1>$AK$125:$AK$129</formula1>
    </dataValidation>
    <dataValidation type="list" allowBlank="1" showInputMessage="1" showErrorMessage="1" sqref="B113:U113" xr:uid="{00000000-0002-0000-0100-000003000000}">
      <formula1>IF($B$112=$AO$80,$AO$80,IF($B$112=$AO$81,$AO$86:$AO$90,IF($B$112=$AO$82,$AO$94:$AO$99,IF($B$112=$AO$83,$AO$101:$AO$107,IF($B$112=$AO$84,$AP$84)))))</formula1>
    </dataValidation>
    <dataValidation type="list" allowBlank="1" showInputMessage="1" showErrorMessage="1" sqref="B107" xr:uid="{00000000-0002-0000-0100-000004000000}">
      <formula1>$AK$133:$AK$141</formula1>
    </dataValidation>
  </dataValidations>
  <pageMargins left="0.23622047244094491" right="0.23622047244094491" top="0.74803149606299213" bottom="0.74803149606299213" header="0.31496062992125984" footer="0.31496062992125984"/>
  <pageSetup paperSize="9" scale="72" fitToHeight="0" orientation="portrait" r:id="rId1"/>
  <rowBreaks count="3" manualBreakCount="3">
    <brk id="68" max="34" man="1"/>
    <brk id="117" max="34" man="1"/>
    <brk id="17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180975</xdr:colOff>
                    <xdr:row>16</xdr:row>
                    <xdr:rowOff>38100</xdr:rowOff>
                  </from>
                  <to>
                    <xdr:col>15</xdr:col>
                    <xdr:colOff>180975</xdr:colOff>
                    <xdr:row>16</xdr:row>
                    <xdr:rowOff>180975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104775</xdr:colOff>
                    <xdr:row>42</xdr:row>
                    <xdr:rowOff>38100</xdr:rowOff>
                  </from>
                  <to>
                    <xdr:col>3</xdr:col>
                    <xdr:colOff>142875</xdr:colOff>
                    <xdr:row>42</xdr:row>
                    <xdr:rowOff>180975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104775</xdr:colOff>
                    <xdr:row>43</xdr:row>
                    <xdr:rowOff>28575</xdr:rowOff>
                  </from>
                  <to>
                    <xdr:col>3</xdr:col>
                    <xdr:colOff>142875</xdr:colOff>
                    <xdr:row>43</xdr:row>
                    <xdr:rowOff>180975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219075</xdr:colOff>
                    <xdr:row>94</xdr:row>
                    <xdr:rowOff>180975</xdr:rowOff>
                  </from>
                  <to>
                    <xdr:col>19</xdr:col>
                    <xdr:colOff>190500</xdr:colOff>
                    <xdr:row>96</xdr:row>
                    <xdr:rowOff>28575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xdr:col>
                    <xdr:colOff>38100</xdr:colOff>
                    <xdr:row>183</xdr:row>
                    <xdr:rowOff>171450</xdr:rowOff>
                  </from>
                  <to>
                    <xdr:col>2</xdr:col>
                    <xdr:colOff>66675</xdr:colOff>
                    <xdr:row>184</xdr:row>
                    <xdr:rowOff>104775</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xdr:col>
                    <xdr:colOff>38100</xdr:colOff>
                    <xdr:row>177</xdr:row>
                    <xdr:rowOff>0</xdr:rowOff>
                  </from>
                  <to>
                    <xdr:col>2</xdr:col>
                    <xdr:colOff>66675</xdr:colOff>
                    <xdr:row>177</xdr:row>
                    <xdr:rowOff>142875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xdr:col>
                    <xdr:colOff>38100</xdr:colOff>
                    <xdr:row>174</xdr:row>
                    <xdr:rowOff>0</xdr:rowOff>
                  </from>
                  <to>
                    <xdr:col>2</xdr:col>
                    <xdr:colOff>66675</xdr:colOff>
                    <xdr:row>174</xdr:row>
                    <xdr:rowOff>142875</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142875</xdr:colOff>
                    <xdr:row>56</xdr:row>
                    <xdr:rowOff>66675</xdr:rowOff>
                  </from>
                  <to>
                    <xdr:col>3</xdr:col>
                    <xdr:colOff>152400</xdr:colOff>
                    <xdr:row>58</xdr:row>
                    <xdr:rowOff>28575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2</xdr:col>
                    <xdr:colOff>142875</xdr:colOff>
                    <xdr:row>61</xdr:row>
                    <xdr:rowOff>38100</xdr:rowOff>
                  </from>
                  <to>
                    <xdr:col>3</xdr:col>
                    <xdr:colOff>152400</xdr:colOff>
                    <xdr:row>63</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xdr:col>
                    <xdr:colOff>38100</xdr:colOff>
                    <xdr:row>183</xdr:row>
                    <xdr:rowOff>0</xdr:rowOff>
                  </from>
                  <to>
                    <xdr:col>2</xdr:col>
                    <xdr:colOff>66675</xdr:colOff>
                    <xdr:row>183</xdr:row>
                    <xdr:rowOff>142875</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xdr:col>
                    <xdr:colOff>38100</xdr:colOff>
                    <xdr:row>174</xdr:row>
                    <xdr:rowOff>180975</xdr:rowOff>
                  </from>
                  <to>
                    <xdr:col>2</xdr:col>
                    <xdr:colOff>66675</xdr:colOff>
                    <xdr:row>175</xdr:row>
                    <xdr:rowOff>142875</xdr:rowOff>
                  </to>
                </anchor>
              </controlPr>
            </control>
          </mc:Choice>
        </mc:AlternateContent>
        <mc:AlternateContent xmlns:mc="http://schemas.openxmlformats.org/markup-compatibility/2006">
          <mc:Choice Requires="x14">
            <control shapeId="6165" r:id="rId21" name="Option Button 21">
              <controlPr defaultSize="0" autoFill="0" autoLine="0" autoPict="0">
                <anchor moveWithCells="1">
                  <from>
                    <xdr:col>11</xdr:col>
                    <xdr:colOff>0</xdr:colOff>
                    <xdr:row>11</xdr:row>
                    <xdr:rowOff>28575</xdr:rowOff>
                  </from>
                  <to>
                    <xdr:col>12</xdr:col>
                    <xdr:colOff>295275</xdr:colOff>
                    <xdr:row>11</xdr:row>
                    <xdr:rowOff>180975</xdr:rowOff>
                  </to>
                </anchor>
              </controlPr>
            </control>
          </mc:Choice>
        </mc:AlternateContent>
        <mc:AlternateContent xmlns:mc="http://schemas.openxmlformats.org/markup-compatibility/2006">
          <mc:Choice Requires="x14">
            <control shapeId="6166" r:id="rId22" name="Option Button 22">
              <controlPr defaultSize="0" autoFill="0" autoLine="0" autoPict="0">
                <anchor moveWithCells="1">
                  <from>
                    <xdr:col>13</xdr:col>
                    <xdr:colOff>190500</xdr:colOff>
                    <xdr:row>11</xdr:row>
                    <xdr:rowOff>28575</xdr:rowOff>
                  </from>
                  <to>
                    <xdr:col>16</xdr:col>
                    <xdr:colOff>0</xdr:colOff>
                    <xdr:row>11</xdr:row>
                    <xdr:rowOff>180975</xdr:rowOff>
                  </to>
                </anchor>
              </controlPr>
            </control>
          </mc:Choice>
        </mc:AlternateContent>
        <mc:AlternateContent xmlns:mc="http://schemas.openxmlformats.org/markup-compatibility/2006">
          <mc:Choice Requires="x14">
            <control shapeId="6167" r:id="rId23" name="Option Button 23">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6168" r:id="rId24" name="Option Button 24">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6170" r:id="rId25" name="Option Button 26">
              <controlPr defaultSize="0" autoFill="0" autoLine="0" autoPict="0">
                <anchor moveWithCells="1">
                  <from>
                    <xdr:col>1</xdr:col>
                    <xdr:colOff>66675</xdr:colOff>
                    <xdr:row>72</xdr:row>
                    <xdr:rowOff>180975</xdr:rowOff>
                  </from>
                  <to>
                    <xdr:col>2</xdr:col>
                    <xdr:colOff>104775</xdr:colOff>
                    <xdr:row>74</xdr:row>
                    <xdr:rowOff>66675</xdr:rowOff>
                  </to>
                </anchor>
              </controlPr>
            </control>
          </mc:Choice>
        </mc:AlternateContent>
        <mc:AlternateContent xmlns:mc="http://schemas.openxmlformats.org/markup-compatibility/2006">
          <mc:Choice Requires="x14">
            <control shapeId="6171" r:id="rId26" name="Option Button 27">
              <controlPr defaultSize="0" autoFill="0" autoLine="0" autoPict="0">
                <anchor moveWithCells="1">
                  <from>
                    <xdr:col>1</xdr:col>
                    <xdr:colOff>66675</xdr:colOff>
                    <xdr:row>74</xdr:row>
                    <xdr:rowOff>219075</xdr:rowOff>
                  </from>
                  <to>
                    <xdr:col>2</xdr:col>
                    <xdr:colOff>104775</xdr:colOff>
                    <xdr:row>76</xdr:row>
                    <xdr:rowOff>28575</xdr:rowOff>
                  </to>
                </anchor>
              </controlPr>
            </control>
          </mc:Choice>
        </mc:AlternateContent>
        <mc:AlternateContent xmlns:mc="http://schemas.openxmlformats.org/markup-compatibility/2006">
          <mc:Choice Requires="x14">
            <control shapeId="6172" r:id="rId27" name="Option Button 28">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38100</xdr:colOff>
                    <xdr:row>185</xdr:row>
                    <xdr:rowOff>180975</xdr:rowOff>
                  </from>
                  <to>
                    <xdr:col>2</xdr:col>
                    <xdr:colOff>66675</xdr:colOff>
                    <xdr:row>186</xdr:row>
                    <xdr:rowOff>104775</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9525</xdr:colOff>
                    <xdr:row>142</xdr:row>
                    <xdr:rowOff>28575</xdr:rowOff>
                  </from>
                  <to>
                    <xdr:col>2</xdr:col>
                    <xdr:colOff>38100</xdr:colOff>
                    <xdr:row>142</xdr:row>
                    <xdr:rowOff>152400</xdr:rowOff>
                  </to>
                </anchor>
              </controlPr>
            </control>
          </mc:Choice>
        </mc:AlternateContent>
        <mc:AlternateContent xmlns:mc="http://schemas.openxmlformats.org/markup-compatibility/2006">
          <mc:Choice Requires="x14">
            <control shapeId="6181" r:id="rId30" name="Group Box 37">
              <controlPr defaultSize="0" autoFill="0" autoPict="0">
                <anchor moveWithCells="1">
                  <from>
                    <xdr:col>10</xdr:col>
                    <xdr:colOff>0</xdr:colOff>
                    <xdr:row>10</xdr:row>
                    <xdr:rowOff>76200</xdr:rowOff>
                  </from>
                  <to>
                    <xdr:col>17</xdr:col>
                    <xdr:colOff>28575</xdr:colOff>
                    <xdr:row>12</xdr:row>
                    <xdr:rowOff>28575</xdr:rowOff>
                  </to>
                </anchor>
              </controlPr>
            </control>
          </mc:Choice>
        </mc:AlternateContent>
        <mc:AlternateContent xmlns:mc="http://schemas.openxmlformats.org/markup-compatibility/2006">
          <mc:Choice Requires="x14">
            <control shapeId="6183" r:id="rId31" name="Option Button 39">
              <controlPr defaultSize="0" autoFill="0" autoLine="0" autoPict="0">
                <anchor moveWithCells="1">
                  <from>
                    <xdr:col>1</xdr:col>
                    <xdr:colOff>66675</xdr:colOff>
                    <xdr:row>73</xdr:row>
                    <xdr:rowOff>219075</xdr:rowOff>
                  </from>
                  <to>
                    <xdr:col>2</xdr:col>
                    <xdr:colOff>114300</xdr:colOff>
                    <xdr:row>75</xdr:row>
                    <xdr:rowOff>47625</xdr:rowOff>
                  </to>
                </anchor>
              </controlPr>
            </control>
          </mc:Choice>
        </mc:AlternateContent>
        <mc:AlternateContent xmlns:mc="http://schemas.openxmlformats.org/markup-compatibility/2006">
          <mc:Choice Requires="x14">
            <control shapeId="6184" r:id="rId32" name="Option Button 40">
              <controlPr defaultSize="0" autoFill="0" autoLine="0" autoPict="0">
                <anchor moveWithCells="1">
                  <from>
                    <xdr:col>1</xdr:col>
                    <xdr:colOff>66675</xdr:colOff>
                    <xdr:row>76</xdr:row>
                    <xdr:rowOff>228600</xdr:rowOff>
                  </from>
                  <to>
                    <xdr:col>2</xdr:col>
                    <xdr:colOff>104775</xdr:colOff>
                    <xdr:row>77</xdr:row>
                    <xdr:rowOff>228600</xdr:rowOff>
                  </to>
                </anchor>
              </controlPr>
            </control>
          </mc:Choice>
        </mc:AlternateContent>
        <mc:AlternateContent xmlns:mc="http://schemas.openxmlformats.org/markup-compatibility/2006">
          <mc:Choice Requires="x14">
            <control shapeId="6191" r:id="rId33" name="Check Box 47">
              <controlPr defaultSize="0" autoFill="0" autoLine="0" autoPict="0">
                <anchor moveWithCells="1">
                  <from>
                    <xdr:col>1</xdr:col>
                    <xdr:colOff>38100</xdr:colOff>
                    <xdr:row>182</xdr:row>
                    <xdr:rowOff>9525</xdr:rowOff>
                  </from>
                  <to>
                    <xdr:col>2</xdr:col>
                    <xdr:colOff>66675</xdr:colOff>
                    <xdr:row>182</xdr:row>
                    <xdr:rowOff>152400</xdr:rowOff>
                  </to>
                </anchor>
              </controlPr>
            </control>
          </mc:Choice>
        </mc:AlternateContent>
        <mc:AlternateContent xmlns:mc="http://schemas.openxmlformats.org/markup-compatibility/2006">
          <mc:Choice Requires="x14">
            <control shapeId="6212" r:id="rId34" name="Check Box 68">
              <controlPr defaultSize="0" autoFill="0" autoLine="0" autoPict="0">
                <anchor moveWithCells="1">
                  <from>
                    <xdr:col>1</xdr:col>
                    <xdr:colOff>38100</xdr:colOff>
                    <xdr:row>179</xdr:row>
                    <xdr:rowOff>171450</xdr:rowOff>
                  </from>
                  <to>
                    <xdr:col>2</xdr:col>
                    <xdr:colOff>66675</xdr:colOff>
                    <xdr:row>180</xdr:row>
                    <xdr:rowOff>104775</xdr:rowOff>
                  </to>
                </anchor>
              </controlPr>
            </control>
          </mc:Choice>
        </mc:AlternateContent>
        <mc:AlternateContent xmlns:mc="http://schemas.openxmlformats.org/markup-compatibility/2006">
          <mc:Choice Requires="x14">
            <control shapeId="6213" r:id="rId35" name="Check Box 69">
              <controlPr defaultSize="0" autoFill="0" autoLine="0" autoPict="0">
                <anchor moveWithCells="1">
                  <from>
                    <xdr:col>1</xdr:col>
                    <xdr:colOff>38100</xdr:colOff>
                    <xdr:row>178</xdr:row>
                    <xdr:rowOff>180975</xdr:rowOff>
                  </from>
                  <to>
                    <xdr:col>2</xdr:col>
                    <xdr:colOff>66675</xdr:colOff>
                    <xdr:row>179</xdr:row>
                    <xdr:rowOff>104775</xdr:rowOff>
                  </to>
                </anchor>
              </controlPr>
            </control>
          </mc:Choice>
        </mc:AlternateContent>
        <mc:AlternateContent xmlns:mc="http://schemas.openxmlformats.org/markup-compatibility/2006">
          <mc:Choice Requires="x14">
            <control shapeId="6214" r:id="rId36" name="Check Box 70">
              <controlPr defaultSize="0" autoFill="0" autoLine="0" autoPict="0">
                <anchor moveWithCells="1">
                  <from>
                    <xdr:col>1</xdr:col>
                    <xdr:colOff>38100</xdr:colOff>
                    <xdr:row>180</xdr:row>
                    <xdr:rowOff>171450</xdr:rowOff>
                  </from>
                  <to>
                    <xdr:col>2</xdr:col>
                    <xdr:colOff>66675</xdr:colOff>
                    <xdr:row>181</xdr:row>
                    <xdr:rowOff>114300</xdr:rowOff>
                  </to>
                </anchor>
              </controlPr>
            </control>
          </mc:Choice>
        </mc:AlternateContent>
        <mc:AlternateContent xmlns:mc="http://schemas.openxmlformats.org/markup-compatibility/2006">
          <mc:Choice Requires="x14">
            <control shapeId="6220" r:id="rId37" name="Check Box 76">
              <controlPr defaultSize="0" autoFill="0" autoLine="0" autoPict="0">
                <anchor moveWithCells="1">
                  <from>
                    <xdr:col>1</xdr:col>
                    <xdr:colOff>38100</xdr:colOff>
                    <xdr:row>184</xdr:row>
                    <xdr:rowOff>180975</xdr:rowOff>
                  </from>
                  <to>
                    <xdr:col>2</xdr:col>
                    <xdr:colOff>66675</xdr:colOff>
                    <xdr:row>185</xdr:row>
                    <xdr:rowOff>104775</xdr:rowOff>
                  </to>
                </anchor>
              </controlPr>
            </control>
          </mc:Choice>
        </mc:AlternateContent>
        <mc:AlternateContent xmlns:mc="http://schemas.openxmlformats.org/markup-compatibility/2006">
          <mc:Choice Requires="x14">
            <control shapeId="6274" r:id="rId38" name="Option Button 130">
              <controlPr defaultSize="0" autoFill="0" autoLine="0" autoPict="0">
                <anchor moveWithCells="1">
                  <from>
                    <xdr:col>1</xdr:col>
                    <xdr:colOff>66675</xdr:colOff>
                    <xdr:row>77</xdr:row>
                    <xdr:rowOff>228600</xdr:rowOff>
                  </from>
                  <to>
                    <xdr:col>2</xdr:col>
                    <xdr:colOff>142875</xdr:colOff>
                    <xdr:row>78</xdr:row>
                    <xdr:rowOff>219075</xdr:rowOff>
                  </to>
                </anchor>
              </controlPr>
            </control>
          </mc:Choice>
        </mc:AlternateContent>
        <mc:AlternateContent xmlns:mc="http://schemas.openxmlformats.org/markup-compatibility/2006">
          <mc:Choice Requires="x14">
            <control shapeId="6275" r:id="rId39" name="Group Box 131">
              <controlPr defaultSize="0" autoFill="0" autoPict="0">
                <anchor moveWithCells="1">
                  <from>
                    <xdr:col>0</xdr:col>
                    <xdr:colOff>295275</xdr:colOff>
                    <xdr:row>72</xdr:row>
                    <xdr:rowOff>161925</xdr:rowOff>
                  </from>
                  <to>
                    <xdr:col>3</xdr:col>
                    <xdr:colOff>0</xdr:colOff>
                    <xdr:row>79</xdr:row>
                    <xdr:rowOff>28575</xdr:rowOff>
                  </to>
                </anchor>
              </controlPr>
            </control>
          </mc:Choice>
        </mc:AlternateContent>
        <mc:AlternateContent xmlns:mc="http://schemas.openxmlformats.org/markup-compatibility/2006">
          <mc:Choice Requires="x14">
            <control shapeId="6280" r:id="rId40" name="Group Box 136">
              <controlPr defaultSize="0" autoFill="0" autoPict="0">
                <anchor moveWithCells="1">
                  <from>
                    <xdr:col>17</xdr:col>
                    <xdr:colOff>219075</xdr:colOff>
                    <xdr:row>20</xdr:row>
                    <xdr:rowOff>180975</xdr:rowOff>
                  </from>
                  <to>
                    <xdr:col>29</xdr:col>
                    <xdr:colOff>219075</xdr:colOff>
                    <xdr:row>22</xdr:row>
                    <xdr:rowOff>28575</xdr:rowOff>
                  </to>
                </anchor>
              </controlPr>
            </control>
          </mc:Choice>
        </mc:AlternateContent>
        <mc:AlternateContent xmlns:mc="http://schemas.openxmlformats.org/markup-compatibility/2006">
          <mc:Choice Requires="x14">
            <control shapeId="6298" r:id="rId41" name="Check Box 154">
              <controlPr defaultSize="0" autoFill="0" autoLine="0" autoPict="0">
                <anchor moveWithCells="1">
                  <from>
                    <xdr:col>1</xdr:col>
                    <xdr:colOff>38100</xdr:colOff>
                    <xdr:row>178</xdr:row>
                    <xdr:rowOff>9525</xdr:rowOff>
                  </from>
                  <to>
                    <xdr:col>2</xdr:col>
                    <xdr:colOff>66675</xdr:colOff>
                    <xdr:row>178</xdr:row>
                    <xdr:rowOff>152400</xdr:rowOff>
                  </to>
                </anchor>
              </controlPr>
            </control>
          </mc:Choice>
        </mc:AlternateContent>
        <mc:AlternateContent xmlns:mc="http://schemas.openxmlformats.org/markup-compatibility/2006">
          <mc:Choice Requires="x14">
            <control shapeId="6303" r:id="rId42" name="Check Box 159">
              <controlPr defaultSize="0" autoFill="0" autoLine="0" autoPict="0">
                <anchor moveWithCells="1">
                  <from>
                    <xdr:col>1</xdr:col>
                    <xdr:colOff>38100</xdr:colOff>
                    <xdr:row>187</xdr:row>
                    <xdr:rowOff>0</xdr:rowOff>
                  </from>
                  <to>
                    <xdr:col>2</xdr:col>
                    <xdr:colOff>66675</xdr:colOff>
                    <xdr:row>187</xdr:row>
                    <xdr:rowOff>142875</xdr:rowOff>
                  </to>
                </anchor>
              </controlPr>
            </control>
          </mc:Choice>
        </mc:AlternateContent>
        <mc:AlternateContent xmlns:mc="http://schemas.openxmlformats.org/markup-compatibility/2006">
          <mc:Choice Requires="x14">
            <control shapeId="6305" r:id="rId43" name="Check Box 161">
              <controlPr defaultSize="0" autoFill="0" autoLine="0" autoPict="0">
                <anchor moveWithCells="1">
                  <from>
                    <xdr:col>1</xdr:col>
                    <xdr:colOff>38100</xdr:colOff>
                    <xdr:row>175</xdr:row>
                    <xdr:rowOff>161925</xdr:rowOff>
                  </from>
                  <to>
                    <xdr:col>2</xdr:col>
                    <xdr:colOff>66675</xdr:colOff>
                    <xdr:row>176</xdr:row>
                    <xdr:rowOff>123825</xdr:rowOff>
                  </to>
                </anchor>
              </controlPr>
            </control>
          </mc:Choice>
        </mc:AlternateContent>
        <mc:AlternateContent xmlns:mc="http://schemas.openxmlformats.org/markup-compatibility/2006">
          <mc:Choice Requires="x14">
            <control shapeId="6335" r:id="rId44" name="Check Box 191">
              <controlPr defaultSize="0" autoFill="0" autoLine="0" autoPict="0">
                <anchor moveWithCells="1">
                  <from>
                    <xdr:col>1</xdr:col>
                    <xdr:colOff>9525</xdr:colOff>
                    <xdr:row>147</xdr:row>
                    <xdr:rowOff>28575</xdr:rowOff>
                  </from>
                  <to>
                    <xdr:col>2</xdr:col>
                    <xdr:colOff>38100</xdr:colOff>
                    <xdr:row>147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B2:F30"/>
  <sheetViews>
    <sheetView workbookViewId="0">
      <selection activeCell="E21" sqref="E21"/>
    </sheetView>
  </sheetViews>
  <sheetFormatPr baseColWidth="10" defaultColWidth="11.33203125" defaultRowHeight="12.75" x14ac:dyDescent="0.2"/>
  <cols>
    <col min="1" max="16384" width="11.33203125" style="283"/>
  </cols>
  <sheetData>
    <row r="2" spans="2:6" x14ac:dyDescent="0.2">
      <c r="B2" s="285" t="s">
        <v>231</v>
      </c>
      <c r="F2" s="286" t="s">
        <v>71</v>
      </c>
    </row>
    <row r="4" spans="2:6" x14ac:dyDescent="0.2">
      <c r="B4" s="284" t="s">
        <v>230</v>
      </c>
    </row>
    <row r="5" spans="2:6" x14ac:dyDescent="0.2">
      <c r="B5" s="283" t="s">
        <v>241</v>
      </c>
    </row>
    <row r="8" spans="2:6" x14ac:dyDescent="0.2">
      <c r="B8" s="284" t="s">
        <v>227</v>
      </c>
    </row>
    <row r="9" spans="2:6" x14ac:dyDescent="0.2">
      <c r="B9" s="283" t="s">
        <v>229</v>
      </c>
    </row>
    <row r="10" spans="2:6" x14ac:dyDescent="0.2">
      <c r="B10" s="283" t="s">
        <v>228</v>
      </c>
    </row>
    <row r="14" spans="2:6" x14ac:dyDescent="0.2">
      <c r="B14" s="283" t="s">
        <v>244</v>
      </c>
    </row>
    <row r="15" spans="2:6" x14ac:dyDescent="0.2">
      <c r="B15" s="283" t="s">
        <v>245</v>
      </c>
    </row>
    <row r="16" spans="2:6" x14ac:dyDescent="0.2">
      <c r="B16" s="283" t="s">
        <v>246</v>
      </c>
    </row>
    <row r="24" spans="2:2" x14ac:dyDescent="0.2">
      <c r="B24" s="284" t="s">
        <v>251</v>
      </c>
    </row>
    <row r="25" spans="2:2" x14ac:dyDescent="0.2">
      <c r="B25" s="317"/>
    </row>
    <row r="26" spans="2:2" x14ac:dyDescent="0.2">
      <c r="B26" s="283" t="s">
        <v>252</v>
      </c>
    </row>
    <row r="28" spans="2:2" x14ac:dyDescent="0.2">
      <c r="B28" s="283" t="s">
        <v>253</v>
      </c>
    </row>
    <row r="29" spans="2:2" x14ac:dyDescent="0.2">
      <c r="B29" s="317" t="s">
        <v>254</v>
      </c>
    </row>
    <row r="30" spans="2:2" x14ac:dyDescent="0.2">
      <c r="B30" s="317" t="s">
        <v>255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C75B-F4FF-4620-8E3B-F90AAF5D3D62}">
  <sheetPr codeName="Feuil6">
    <pageSetUpPr fitToPage="1"/>
  </sheetPr>
  <dimension ref="A1:FXX204"/>
  <sheetViews>
    <sheetView topLeftCell="A17"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620"/>
      <c r="C2" s="621"/>
      <c r="D2" s="621"/>
      <c r="E2" s="621"/>
      <c r="F2" s="622"/>
      <c r="G2" s="629" t="s">
        <v>36</v>
      </c>
      <c r="H2" s="630"/>
      <c r="I2" s="630"/>
      <c r="J2" s="630"/>
      <c r="K2" s="630"/>
      <c r="L2" s="630"/>
      <c r="M2" s="630"/>
      <c r="N2" s="630"/>
      <c r="O2" s="631"/>
      <c r="P2" s="638" t="s">
        <v>641</v>
      </c>
      <c r="Q2" s="639"/>
      <c r="R2" s="639"/>
      <c r="S2" s="639"/>
      <c r="T2" s="639"/>
      <c r="U2" s="639"/>
      <c r="V2" s="639"/>
      <c r="W2" s="639"/>
      <c r="X2" s="639"/>
      <c r="Y2" s="640"/>
      <c r="Z2" s="647" t="s">
        <v>172</v>
      </c>
      <c r="AA2" s="648"/>
      <c r="AB2" s="648"/>
      <c r="AC2" s="648"/>
      <c r="AD2" s="648"/>
      <c r="AE2" s="648"/>
      <c r="AF2" s="648"/>
      <c r="AG2" s="648"/>
      <c r="AH2" s="649"/>
    </row>
    <row r="3" spans="2:43"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row>
    <row r="4" spans="2:43"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row>
    <row r="5" spans="2:43"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58" t="s">
        <v>0</v>
      </c>
      <c r="C7" s="558"/>
      <c r="D7" s="558"/>
      <c r="E7" s="656"/>
      <c r="F7" s="726">
        <f>Formulaire_Fr!F7</f>
        <v>0</v>
      </c>
      <c r="G7" s="727"/>
      <c r="H7" s="727"/>
      <c r="I7" s="727"/>
      <c r="J7" s="727"/>
      <c r="K7" s="727"/>
      <c r="L7" s="727"/>
      <c r="M7" s="727"/>
      <c r="N7" s="727"/>
      <c r="O7" s="727"/>
      <c r="P7" s="728"/>
      <c r="Q7" s="657" t="s">
        <v>80</v>
      </c>
      <c r="R7" s="493"/>
      <c r="S7" s="493"/>
      <c r="T7" s="658"/>
      <c r="U7" s="726">
        <f>Formulaire_Fr!U7</f>
        <v>0</v>
      </c>
      <c r="V7" s="727"/>
      <c r="W7" s="727"/>
      <c r="X7" s="727"/>
      <c r="Y7" s="727"/>
      <c r="Z7" s="728"/>
      <c r="AA7" s="28"/>
      <c r="AB7" s="28"/>
      <c r="AC7" s="19"/>
      <c r="AD7" s="43" t="s">
        <v>111</v>
      </c>
      <c r="AE7" s="726">
        <f>Formulaire_Fr!AE7</f>
        <v>0</v>
      </c>
      <c r="AF7" s="727"/>
      <c r="AG7" s="727"/>
      <c r="AH7" s="728"/>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58" t="s">
        <v>1</v>
      </c>
      <c r="C9" s="558"/>
      <c r="D9" s="558"/>
      <c r="E9" s="28"/>
      <c r="F9" s="726">
        <f>Formulaire_Fr!F9</f>
        <v>0</v>
      </c>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8"/>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651</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D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656</v>
      </c>
      <c r="V14" s="271"/>
      <c r="W14" s="743" t="str">
        <f>IF(Formulaire_Fr!O130&lt;&gt;0,Formulaire_Fr!O130,"")</f>
        <v/>
      </c>
      <c r="X14" s="743"/>
      <c r="Y14" s="406" t="s">
        <v>82</v>
      </c>
      <c r="Z14" s="77"/>
      <c r="AA14" s="745"/>
      <c r="AB14" s="745"/>
      <c r="AC14" s="406" t="s">
        <v>82</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225</v>
      </c>
      <c r="D16" s="77"/>
      <c r="E16" s="90"/>
      <c r="F16" s="489" t="s">
        <v>175</v>
      </c>
      <c r="G16" s="489"/>
      <c r="H16" s="489" t="s">
        <v>176</v>
      </c>
      <c r="I16" s="489"/>
      <c r="J16" s="489" t="s">
        <v>177</v>
      </c>
      <c r="K16" s="489"/>
      <c r="L16" s="489" t="s">
        <v>182</v>
      </c>
      <c r="M16" s="489"/>
      <c r="N16" s="489" t="s">
        <v>178</v>
      </c>
      <c r="O16" s="489"/>
      <c r="P16" s="489" t="s">
        <v>179</v>
      </c>
      <c r="Q16" s="489"/>
      <c r="R16" s="489" t="s">
        <v>180</v>
      </c>
      <c r="S16" s="489"/>
      <c r="T16" s="489" t="s">
        <v>181</v>
      </c>
      <c r="U16" s="489"/>
      <c r="V16" s="489" t="s">
        <v>183</v>
      </c>
      <c r="W16" s="489"/>
      <c r="X16" s="489" t="s">
        <v>184</v>
      </c>
      <c r="Y16" s="489"/>
      <c r="Z16" s="489" t="s">
        <v>185</v>
      </c>
      <c r="AA16" s="489"/>
      <c r="AB16" s="489" t="s">
        <v>186</v>
      </c>
      <c r="AC16" s="489"/>
      <c r="AD16" s="489" t="s">
        <v>187</v>
      </c>
      <c r="AE16" s="489"/>
      <c r="AF16" s="28"/>
      <c r="AG16" s="28"/>
      <c r="AH16" s="28"/>
      <c r="AL16" s="407" t="s">
        <v>652</v>
      </c>
      <c r="AM16" s="408"/>
      <c r="AN16" s="408"/>
      <c r="AO16" s="408"/>
      <c r="AP16" s="408"/>
      <c r="AQ16" s="409"/>
    </row>
    <row r="17" spans="2:49" ht="15" x14ac:dyDescent="0.2">
      <c r="B17" s="199"/>
      <c r="C17" s="28"/>
      <c r="D17" s="28"/>
      <c r="E17" s="28"/>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89">
        <f>SUM(F17:AC17)</f>
        <v>0</v>
      </c>
      <c r="AE17" s="489"/>
      <c r="AF17" s="497" t="s">
        <v>45</v>
      </c>
      <c r="AG17" s="497"/>
      <c r="AH17" s="497"/>
      <c r="AL17" s="410"/>
      <c r="AQ17" s="411"/>
    </row>
    <row r="18" spans="2:49" ht="15" x14ac:dyDescent="0.2">
      <c r="B18" s="199"/>
      <c r="C18" s="28"/>
      <c r="D18" s="28"/>
      <c r="E18" s="28"/>
      <c r="F18" s="746" t="str">
        <f>IF(Formulaire_Fr!$O$130&lt;&gt;0,Formulaire_Fr!F$133,"")</f>
        <v/>
      </c>
      <c r="G18" s="746"/>
      <c r="H18" s="746" t="str">
        <f>IF(Formulaire_Fr!$O$130&lt;&gt;0,Formulaire_Fr!H$133,"")</f>
        <v/>
      </c>
      <c r="I18" s="746"/>
      <c r="J18" s="746" t="str">
        <f>IF(Formulaire_Fr!$O$130&lt;&gt;0,Formulaire_Fr!J$133,"")</f>
        <v/>
      </c>
      <c r="K18" s="746"/>
      <c r="L18" s="746" t="str">
        <f>IF(Formulaire_Fr!$O$130&lt;&gt;0,Formulaire_Fr!L$133,"")</f>
        <v/>
      </c>
      <c r="M18" s="746"/>
      <c r="N18" s="746" t="str">
        <f>IF(Formulaire_Fr!$O$130&lt;&gt;0,Formulaire_Fr!N$133,"")</f>
        <v/>
      </c>
      <c r="O18" s="746"/>
      <c r="P18" s="746" t="str">
        <f>IF(Formulaire_Fr!$O$130&lt;&gt;0,Formulaire_Fr!P$133,"")</f>
        <v/>
      </c>
      <c r="Q18" s="746"/>
      <c r="R18" s="746" t="str">
        <f>IF(Formulaire_Fr!$O$130&lt;&gt;0,Formulaire_Fr!R$133,"")</f>
        <v/>
      </c>
      <c r="S18" s="746"/>
      <c r="T18" s="746" t="str">
        <f>IF(Formulaire_Fr!$O$130&lt;&gt;0,Formulaire_Fr!T$133,"")</f>
        <v/>
      </c>
      <c r="U18" s="746"/>
      <c r="V18" s="746" t="str">
        <f>IF(Formulaire_Fr!$O$130&lt;&gt;0,Formulaire_Fr!V$133,"")</f>
        <v/>
      </c>
      <c r="W18" s="746"/>
      <c r="X18" s="746" t="str">
        <f>IF(Formulaire_Fr!$O$130&lt;&gt;0,Formulaire_Fr!X$133,"")</f>
        <v/>
      </c>
      <c r="Y18" s="746"/>
      <c r="Z18" s="746" t="str">
        <f>IF(Formulaire_Fr!$O$130&lt;&gt;0,Formulaire_Fr!Z$133,"")</f>
        <v/>
      </c>
      <c r="AA18" s="746"/>
      <c r="AB18" s="746" t="str">
        <f>IF(Formulaire_Fr!$O$130&lt;&gt;0,Formulaire_Fr!AB$133,"")</f>
        <v/>
      </c>
      <c r="AC18" s="746"/>
      <c r="AD18" s="742">
        <f>SUM(F18:AC18)</f>
        <v>0</v>
      </c>
      <c r="AE18" s="742"/>
      <c r="AF18" s="497" t="s">
        <v>45</v>
      </c>
      <c r="AG18" s="497"/>
      <c r="AH18" s="497"/>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642</v>
      </c>
      <c r="G19" s="28"/>
      <c r="H19" s="28"/>
      <c r="I19" s="28"/>
      <c r="J19" s="28"/>
      <c r="K19" s="28"/>
      <c r="L19" s="28"/>
      <c r="M19" s="28"/>
      <c r="N19" s="28"/>
      <c r="O19" s="28"/>
      <c r="P19" s="28"/>
      <c r="Q19" s="28"/>
      <c r="R19" s="28"/>
      <c r="S19" s="28"/>
      <c r="T19" s="28"/>
      <c r="U19" s="28"/>
      <c r="V19" s="28"/>
      <c r="W19" s="28"/>
      <c r="X19" s="28"/>
      <c r="Y19" s="28"/>
      <c r="Z19" s="28"/>
      <c r="AA19" s="28"/>
      <c r="AB19" s="28"/>
      <c r="AC19" s="28"/>
      <c r="AD19" s="744" t="str">
        <f>IFERROR(IF(AD18&lt;&gt;0,AD18/W14,AD17/AA14),"")</f>
        <v/>
      </c>
      <c r="AE19" s="744"/>
      <c r="AF19" s="685" t="s">
        <v>211</v>
      </c>
      <c r="AG19" s="685"/>
      <c r="AH19" s="685"/>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643</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667</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646</v>
      </c>
      <c r="C24" s="28"/>
      <c r="D24" s="28"/>
      <c r="E24" s="28"/>
      <c r="F24" s="28"/>
      <c r="G24" s="28"/>
      <c r="H24" s="28"/>
      <c r="I24" s="28"/>
      <c r="J24" s="28"/>
      <c r="K24" s="28"/>
      <c r="L24" s="28"/>
      <c r="M24" s="28"/>
      <c r="N24" s="28"/>
      <c r="O24" s="28"/>
      <c r="P24" s="28"/>
      <c r="Q24" s="28"/>
      <c r="R24" s="28"/>
      <c r="S24" s="28"/>
      <c r="T24" s="28"/>
      <c r="U24" s="189" t="s">
        <v>657</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Formulaire_Fr!AN155</f>
        <v>0</v>
      </c>
      <c r="AP25" s="209" t="s">
        <v>82</v>
      </c>
      <c r="AQ25" s="421">
        <f>AO25</f>
        <v>0</v>
      </c>
      <c r="AR25" s="209" t="s">
        <v>82</v>
      </c>
      <c r="AU25" s="712">
        <f>SUM(AQ25:AQ27)</f>
        <v>0</v>
      </c>
      <c r="AV25" s="714" t="s">
        <v>256</v>
      </c>
    </row>
    <row r="26" spans="2:49" ht="12.75" x14ac:dyDescent="0.2">
      <c r="B26" s="28" t="s">
        <v>648</v>
      </c>
      <c r="C26" s="28"/>
      <c r="D26" s="28"/>
      <c r="E26" s="28"/>
      <c r="F26" s="28"/>
      <c r="G26" s="28"/>
      <c r="H26" s="28"/>
      <c r="I26" s="28"/>
      <c r="J26" s="28"/>
      <c r="K26" s="28"/>
      <c r="L26" s="28"/>
      <c r="M26" s="28"/>
      <c r="N26" s="245" t="s">
        <v>650</v>
      </c>
      <c r="O26" s="677"/>
      <c r="P26" s="677"/>
      <c r="Q26" s="677"/>
      <c r="R26" s="677"/>
      <c r="S26" s="677"/>
      <c r="T26" s="677"/>
      <c r="U26" s="677"/>
      <c r="V26" s="677"/>
      <c r="W26" s="677"/>
      <c r="X26" s="677"/>
      <c r="Y26" s="677"/>
      <c r="Z26" s="677"/>
      <c r="AA26" s="677"/>
      <c r="AB26" s="677"/>
      <c r="AC26" s="677"/>
      <c r="AD26" s="677"/>
      <c r="AE26" s="677"/>
      <c r="AF26" s="677"/>
      <c r="AG26" s="28"/>
      <c r="AH26" s="28"/>
      <c r="AN26" s="257" t="s">
        <v>194</v>
      </c>
      <c r="AO26" s="420">
        <f>Formulaire_Fr!AN156</f>
        <v>0</v>
      </c>
      <c r="AP26" s="209" t="s">
        <v>82</v>
      </c>
      <c r="AQ26" s="421">
        <f>AO26</f>
        <v>0</v>
      </c>
      <c r="AR26" s="209" t="s">
        <v>82</v>
      </c>
      <c r="AU26" s="713"/>
      <c r="AV26" s="714"/>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Formulaire_Fr!AN157</f>
        <v>0</v>
      </c>
      <c r="AP27" s="209" t="s">
        <v>82</v>
      </c>
      <c r="AQ27" s="421">
        <f>AO27</f>
        <v>0</v>
      </c>
      <c r="AR27" s="209" t="s">
        <v>82</v>
      </c>
      <c r="AU27" s="713"/>
      <c r="AV27" s="714"/>
    </row>
    <row r="28" spans="2:49" ht="12.75" x14ac:dyDescent="0.2">
      <c r="B28" s="28"/>
      <c r="C28" s="28"/>
      <c r="D28" s="28"/>
      <c r="E28" s="28"/>
      <c r="F28" s="28"/>
      <c r="G28" s="28"/>
      <c r="H28" s="28"/>
      <c r="I28" s="28"/>
      <c r="J28" s="28"/>
      <c r="K28" s="28"/>
      <c r="L28" s="28"/>
      <c r="M28" s="28"/>
      <c r="N28" s="43" t="s">
        <v>647</v>
      </c>
      <c r="O28" s="677"/>
      <c r="P28" s="677"/>
      <c r="Q28" s="677"/>
      <c r="R28" s="677"/>
      <c r="S28" s="677"/>
      <c r="T28" s="677"/>
      <c r="U28" s="677"/>
      <c r="V28" s="677"/>
      <c r="W28" s="677"/>
      <c r="X28" s="677"/>
      <c r="Y28" s="677"/>
      <c r="Z28" s="677"/>
      <c r="AA28" s="677"/>
      <c r="AB28" s="677"/>
      <c r="AC28" s="677"/>
      <c r="AD28" s="677"/>
      <c r="AE28" s="677"/>
      <c r="AF28" s="677"/>
      <c r="AG28" s="28"/>
      <c r="AH28" s="28"/>
      <c r="AN28" s="257" t="s">
        <v>198</v>
      </c>
      <c r="AO28" s="420">
        <f>Formulaire_Fr!AN158</f>
        <v>0</v>
      </c>
      <c r="AP28" s="209" t="s">
        <v>45</v>
      </c>
      <c r="AQ28" s="323">
        <f>IFERROR(IF(Formulaire_Fr!O23="Montana",AO28/AP19,AO28/AP18),0)</f>
        <v>0</v>
      </c>
      <c r="AR28" s="209" t="s">
        <v>82</v>
      </c>
      <c r="AU28" s="715">
        <f>SUM(AQ28:AQ34)</f>
        <v>0</v>
      </c>
      <c r="AV28" s="714"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Formulaire_Fr!AN159</f>
        <v>0</v>
      </c>
      <c r="AP29" s="209" t="s">
        <v>45</v>
      </c>
      <c r="AQ29" s="716">
        <f>IFERROR(IF(AS30&gt;AS29,AS30,AS29),0)</f>
        <v>0</v>
      </c>
      <c r="AR29" s="717" t="s">
        <v>82</v>
      </c>
      <c r="AS29" s="323" t="e">
        <f>AO29/AP20</f>
        <v>#VALUE!</v>
      </c>
      <c r="AT29" s="209" t="s">
        <v>82</v>
      </c>
      <c r="AU29" s="715"/>
      <c r="AV29" s="714"/>
    </row>
    <row r="30" spans="2:49" ht="12.75" x14ac:dyDescent="0.2">
      <c r="B30" s="28"/>
      <c r="C30" s="28"/>
      <c r="D30" s="28"/>
      <c r="E30" s="28"/>
      <c r="F30" s="28"/>
      <c r="G30" s="28"/>
      <c r="H30" s="28"/>
      <c r="I30" s="28"/>
      <c r="J30" s="28"/>
      <c r="K30" s="28"/>
      <c r="L30" s="28"/>
      <c r="M30" s="28"/>
      <c r="N30" s="43" t="s">
        <v>661</v>
      </c>
      <c r="O30" s="677"/>
      <c r="P30" s="677"/>
      <c r="Q30" s="677"/>
      <c r="R30" s="677"/>
      <c r="S30" s="677"/>
      <c r="T30" s="677"/>
      <c r="U30" s="677"/>
      <c r="V30" s="677"/>
      <c r="W30" s="677"/>
      <c r="X30" s="677"/>
      <c r="Y30" s="677"/>
      <c r="Z30" s="677"/>
      <c r="AA30" s="677"/>
      <c r="AB30" s="677"/>
      <c r="AC30" s="677"/>
      <c r="AD30" s="677"/>
      <c r="AE30" s="677"/>
      <c r="AF30" s="677"/>
      <c r="AG30" s="28"/>
      <c r="AH30" s="28"/>
      <c r="AN30" s="257" t="s">
        <v>199</v>
      </c>
      <c r="AO30" s="420">
        <f>Formulaire_Fr!AN160</f>
        <v>0</v>
      </c>
      <c r="AP30" s="209" t="s">
        <v>45</v>
      </c>
      <c r="AQ30" s="716"/>
      <c r="AR30" s="717"/>
      <c r="AS30" s="323" t="e">
        <f>AO30/AP21</f>
        <v>#VALUE!</v>
      </c>
      <c r="AT30" s="209" t="s">
        <v>82</v>
      </c>
      <c r="AU30" s="715"/>
      <c r="AV30" s="714"/>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Formulaire_Fr!AN161</f>
        <v>0</v>
      </c>
      <c r="AP31" s="209" t="s">
        <v>45</v>
      </c>
      <c r="AQ31" s="716">
        <f>IFERROR(IF(AO28&lt;&gt;0,0,IF(AS32&gt;AS31,AS32,AS31)),0)</f>
        <v>0</v>
      </c>
      <c r="AR31" s="717" t="s">
        <v>82</v>
      </c>
      <c r="AS31" s="323" t="e">
        <f>AO31/AP20</f>
        <v>#VALUE!</v>
      </c>
      <c r="AT31" s="209" t="s">
        <v>82</v>
      </c>
      <c r="AU31" s="715"/>
      <c r="AV31" s="714"/>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662</v>
      </c>
      <c r="V32" s="732"/>
      <c r="W32" s="732"/>
      <c r="X32" s="233" t="s">
        <v>82</v>
      </c>
      <c r="Y32" s="233"/>
      <c r="Z32" s="28"/>
      <c r="AA32" s="28"/>
      <c r="AB32" s="28"/>
      <c r="AC32" s="28"/>
      <c r="AD32" s="28"/>
      <c r="AE32" s="28"/>
      <c r="AF32" s="28"/>
      <c r="AG32" s="28"/>
      <c r="AH32" s="28"/>
      <c r="AN32" s="257" t="s">
        <v>284</v>
      </c>
      <c r="AO32" s="420">
        <f>Formulaire_Fr!AN162</f>
        <v>0</v>
      </c>
      <c r="AP32" s="209" t="s">
        <v>45</v>
      </c>
      <c r="AQ32" s="716"/>
      <c r="AR32" s="717"/>
      <c r="AS32" s="323" t="e">
        <f>AO32/AP21</f>
        <v>#VALUE!</v>
      </c>
      <c r="AT32" s="209" t="s">
        <v>82</v>
      </c>
      <c r="AU32" s="715"/>
      <c r="AV32" s="714"/>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Formulaire_Fr!AN163</f>
        <v>0</v>
      </c>
      <c r="AP33" s="209" t="s">
        <v>45</v>
      </c>
      <c r="AQ33" s="716">
        <f>IFERROR(IF(AS34&gt;AS33,AS34,AS33),0)</f>
        <v>0</v>
      </c>
      <c r="AR33" s="717" t="s">
        <v>82</v>
      </c>
      <c r="AS33" s="423" t="e">
        <f>AO33/AP20</f>
        <v>#VALUE!</v>
      </c>
      <c r="AT33" s="209" t="s">
        <v>82</v>
      </c>
      <c r="AU33" s="715"/>
      <c r="AV33" s="714"/>
    </row>
    <row r="34" spans="1:50" ht="12.75" x14ac:dyDescent="0.2">
      <c r="B34" s="62"/>
      <c r="C34" s="77" t="s">
        <v>225</v>
      </c>
      <c r="D34" s="77"/>
      <c r="E34" s="90"/>
      <c r="F34" s="489" t="s">
        <v>175</v>
      </c>
      <c r="G34" s="489"/>
      <c r="H34" s="489" t="s">
        <v>176</v>
      </c>
      <c r="I34" s="489"/>
      <c r="J34" s="489" t="s">
        <v>177</v>
      </c>
      <c r="K34" s="489"/>
      <c r="L34" s="489" t="s">
        <v>182</v>
      </c>
      <c r="M34" s="489"/>
      <c r="N34" s="489" t="s">
        <v>178</v>
      </c>
      <c r="O34" s="489"/>
      <c r="P34" s="489" t="s">
        <v>179</v>
      </c>
      <c r="Q34" s="489"/>
      <c r="R34" s="489" t="s">
        <v>180</v>
      </c>
      <c r="S34" s="489"/>
      <c r="T34" s="489" t="s">
        <v>181</v>
      </c>
      <c r="U34" s="489"/>
      <c r="V34" s="489" t="s">
        <v>183</v>
      </c>
      <c r="W34" s="489"/>
      <c r="X34" s="489" t="s">
        <v>184</v>
      </c>
      <c r="Y34" s="489"/>
      <c r="Z34" s="489" t="s">
        <v>185</v>
      </c>
      <c r="AA34" s="489"/>
      <c r="AB34" s="489" t="s">
        <v>186</v>
      </c>
      <c r="AC34" s="489"/>
      <c r="AD34" s="489" t="s">
        <v>187</v>
      </c>
      <c r="AE34" s="489"/>
      <c r="AF34" s="28"/>
      <c r="AG34" s="28"/>
      <c r="AH34" s="28"/>
      <c r="AN34" s="257" t="s">
        <v>286</v>
      </c>
      <c r="AO34" s="420">
        <f>Formulaire_Fr!AN164</f>
        <v>0</v>
      </c>
      <c r="AP34" s="209" t="s">
        <v>45</v>
      </c>
      <c r="AQ34" s="716"/>
      <c r="AR34" s="717"/>
      <c r="AS34" s="423" t="e">
        <f>AO34/AP21</f>
        <v>#VALUE!</v>
      </c>
      <c r="AT34" s="209" t="s">
        <v>82</v>
      </c>
      <c r="AU34" s="715"/>
      <c r="AV34" s="714"/>
    </row>
    <row r="35" spans="1:50" ht="12.75" x14ac:dyDescent="0.2">
      <c r="B35" s="62"/>
      <c r="C35" s="28"/>
      <c r="D35" s="28"/>
      <c r="E35" s="28"/>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42">
        <f>SUM(F35:AC35)</f>
        <v>0</v>
      </c>
      <c r="AE35" s="742"/>
      <c r="AF35" s="497" t="s">
        <v>45</v>
      </c>
      <c r="AG35" s="497"/>
      <c r="AH35" s="497"/>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20" t="str">
        <f>IFERROR(AD35/V32,"")</f>
        <v/>
      </c>
      <c r="AE36" s="720"/>
      <c r="AF36" s="28" t="s">
        <v>211</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1" t="s">
        <v>655</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28"/>
      <c r="AC38" s="28"/>
      <c r="AD38" s="28"/>
      <c r="AE38" s="28"/>
      <c r="AF38" s="28"/>
      <c r="AG38" s="28"/>
      <c r="AH38" s="28"/>
      <c r="AI38" s="199"/>
    </row>
    <row r="39" spans="1:50" ht="15" x14ac:dyDescent="0.2">
      <c r="A39" s="28"/>
      <c r="B39" s="28"/>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C39" s="28"/>
      <c r="AD39" s="28"/>
      <c r="AE39" s="402" t="str">
        <f>IFERROR(AU58,"")</f>
        <v/>
      </c>
      <c r="AF39" s="695" t="s">
        <v>79</v>
      </c>
      <c r="AG39" s="695"/>
      <c r="AH39" s="28"/>
      <c r="AI39" s="199"/>
      <c r="AL39" s="407" t="s">
        <v>653</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676</v>
      </c>
      <c r="AB41" s="28"/>
      <c r="AC41" s="28"/>
      <c r="AD41" s="28"/>
      <c r="AE41" s="403"/>
      <c r="AF41" s="722" t="s">
        <v>79</v>
      </c>
      <c r="AG41" s="722"/>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664</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699" t="str">
        <f>IF(AE41=0,"Il n'y a pas de participation financière indiquée",IF(AE41&gt;=AE39,"Les parts acquises permettent de couvrir les besoins du projet initial","Les parts acquises ne permettent pas de couvrir les besoins du projet initial, le déficit est de "&amp; ROUND(AK42,1)&amp;" kWc"))</f>
        <v>Il n'y a pas de participation financière indiquée</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1"/>
      <c r="AI43" s="271"/>
      <c r="AL43" s="410"/>
      <c r="AM43" s="209" t="s">
        <v>47</v>
      </c>
      <c r="AN43" s="412">
        <f>SUM(L35:W35)</f>
        <v>0</v>
      </c>
      <c r="AO43" s="209" t="s">
        <v>45</v>
      </c>
      <c r="AP43" s="412" t="e">
        <f>AN43/$V$32</f>
        <v>#DIV/0!</v>
      </c>
      <c r="AQ43" s="411" t="s">
        <v>211</v>
      </c>
      <c r="AR43" s="209" t="s">
        <v>214</v>
      </c>
    </row>
    <row r="44" spans="1:50" ht="15" x14ac:dyDescent="0.2">
      <c r="A44" s="199"/>
      <c r="B44" s="702"/>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703"/>
      <c r="AI44" s="271"/>
      <c r="AL44" s="410"/>
      <c r="AM44" s="209" t="s">
        <v>219</v>
      </c>
      <c r="AN44" s="412">
        <f>SUM(Z35:AC35,F35:I35)</f>
        <v>0</v>
      </c>
      <c r="AO44" s="209" t="s">
        <v>45</v>
      </c>
      <c r="AP44" s="412" t="e">
        <f>AN44/$V$32</f>
        <v>#DIV/0!</v>
      </c>
      <c r="AQ44" s="411" t="s">
        <v>211</v>
      </c>
      <c r="AR44" s="209" t="s">
        <v>215</v>
      </c>
    </row>
    <row r="45" spans="1:50" ht="15.75" thickBot="1" x14ac:dyDescent="0.25">
      <c r="A45" s="199"/>
      <c r="B45" s="704"/>
      <c r="C45" s="705"/>
      <c r="D45" s="705"/>
      <c r="E45" s="705"/>
      <c r="F45" s="705"/>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6"/>
      <c r="AI45" s="271"/>
      <c r="AL45" s="414"/>
      <c r="AM45" s="415"/>
      <c r="AN45" s="415"/>
      <c r="AO45" s="415"/>
      <c r="AP45" s="416" t="str">
        <f>AD36</f>
        <v/>
      </c>
      <c r="AQ45" s="417" t="s">
        <v>211</v>
      </c>
      <c r="AR45" s="209" t="s">
        <v>667</v>
      </c>
    </row>
    <row r="46" spans="1:50" ht="15" x14ac:dyDescent="0.2">
      <c r="A46" s="199"/>
      <c r="B46" s="718" t="s">
        <v>700</v>
      </c>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271"/>
      <c r="AN46" s="418" t="s">
        <v>222</v>
      </c>
      <c r="AO46" s="418"/>
      <c r="AP46" s="418"/>
      <c r="AQ46" s="418"/>
      <c r="AR46" s="418"/>
    </row>
    <row r="47" spans="1:50" ht="13.5" thickBot="1" x14ac:dyDescent="0.25">
      <c r="B47" s="719"/>
      <c r="C47" s="719"/>
      <c r="D47" s="719"/>
      <c r="E47" s="719"/>
      <c r="F47" s="719"/>
      <c r="G47" s="719"/>
      <c r="H47" s="719"/>
      <c r="I47" s="719"/>
      <c r="J47" s="719"/>
      <c r="K47" s="719"/>
      <c r="L47" s="719"/>
      <c r="M47" s="719"/>
      <c r="N47" s="719"/>
      <c r="O47" s="719"/>
      <c r="P47" s="719"/>
      <c r="Q47" s="719"/>
      <c r="R47" s="719"/>
      <c r="S47" s="719"/>
      <c r="T47" s="719"/>
      <c r="U47" s="719"/>
      <c r="V47" s="719"/>
      <c r="W47" s="719"/>
      <c r="X47" s="719"/>
      <c r="Y47" s="719"/>
      <c r="Z47" s="719"/>
      <c r="AA47" s="719"/>
      <c r="AB47" s="719"/>
      <c r="AC47" s="719"/>
      <c r="AD47" s="719"/>
      <c r="AE47" s="719"/>
      <c r="AF47" s="719"/>
      <c r="AG47" s="719"/>
      <c r="AH47" s="719"/>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Formulaire_Fr!AN155</f>
        <v>0</v>
      </c>
      <c r="AP48" s="209" t="s">
        <v>82</v>
      </c>
      <c r="AQ48" s="421">
        <f>AO48</f>
        <v>0</v>
      </c>
      <c r="AR48" s="209" t="s">
        <v>665</v>
      </c>
      <c r="AS48" s="425" t="e">
        <f>AQ48*($AP$22/$AP$45)</f>
        <v>#VALUE!</v>
      </c>
      <c r="AT48" s="209" t="s">
        <v>666</v>
      </c>
      <c r="AU48" s="712" t="e">
        <f>SUM(AS48:AS50)</f>
        <v>#VALUE!</v>
      </c>
      <c r="AV48" s="714" t="s">
        <v>256</v>
      </c>
    </row>
    <row r="49" spans="1:50" ht="15.75" x14ac:dyDescent="0.2">
      <c r="B49" s="34" t="s">
        <v>640</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Formulaire_Fr!AN156</f>
        <v>0</v>
      </c>
      <c r="AP49" s="209" t="s">
        <v>82</v>
      </c>
      <c r="AQ49" s="421">
        <f>AO49</f>
        <v>0</v>
      </c>
      <c r="AR49" s="209" t="s">
        <v>665</v>
      </c>
      <c r="AS49" s="425" t="e">
        <f t="shared" ref="AS49:AS50" si="0">AQ49*($AP$22/$AP$45)</f>
        <v>#VALUE!</v>
      </c>
      <c r="AT49" s="209" t="s">
        <v>666</v>
      </c>
      <c r="AU49" s="713"/>
      <c r="AV49" s="714"/>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Formulaire_Fr!AN157</f>
        <v>0</v>
      </c>
      <c r="AP50" s="209" t="s">
        <v>82</v>
      </c>
      <c r="AQ50" s="421">
        <f>AO50</f>
        <v>0</v>
      </c>
      <c r="AR50" s="209" t="s">
        <v>665</v>
      </c>
      <c r="AS50" s="425" t="e">
        <f t="shared" si="0"/>
        <v>#VALUE!</v>
      </c>
      <c r="AT50" s="209" t="s">
        <v>666</v>
      </c>
      <c r="AU50" s="713"/>
      <c r="AV50" s="714"/>
    </row>
    <row r="51" spans="1:50" ht="18.75" customHeight="1" x14ac:dyDescent="0.2">
      <c r="B51" s="1"/>
      <c r="C51" s="104"/>
      <c r="D51" s="104" t="s">
        <v>654</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Formulaire_Fr!AN158</f>
        <v>0</v>
      </c>
      <c r="AP51" s="209" t="s">
        <v>45</v>
      </c>
      <c r="AQ51" s="323">
        <f>IFERROR(IF(Formulaire_Fr!O23="Montana",AO51/AP42,AO51/AP41),0)</f>
        <v>0</v>
      </c>
      <c r="AR51" s="209" t="s">
        <v>82</v>
      </c>
      <c r="AS51" s="425"/>
      <c r="AU51" s="715">
        <f>SUM(AQ51:AQ57)</f>
        <v>0</v>
      </c>
      <c r="AV51" s="714" t="s">
        <v>257</v>
      </c>
    </row>
    <row r="52" spans="1:50" ht="15.75" customHeight="1" x14ac:dyDescent="0.2">
      <c r="B52" s="1"/>
      <c r="C52" s="104"/>
      <c r="D52" s="104" t="s">
        <v>663</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Formulaire_Fr!AN159</f>
        <v>0</v>
      </c>
      <c r="AP52" s="209" t="s">
        <v>45</v>
      </c>
      <c r="AQ52" s="716">
        <f>IFERROR(IF(AS53&gt;AS52,AS53,AS52),0)</f>
        <v>0</v>
      </c>
      <c r="AR52" s="717" t="s">
        <v>82</v>
      </c>
      <c r="AS52" s="323" t="e">
        <f>AO52/AP43</f>
        <v>#DIV/0!</v>
      </c>
      <c r="AT52" s="209" t="s">
        <v>82</v>
      </c>
      <c r="AU52" s="715"/>
      <c r="AV52" s="714"/>
    </row>
    <row r="53" spans="1:50" ht="15.75" customHeight="1" x14ac:dyDescent="0.2">
      <c r="B53" s="1"/>
      <c r="C53" s="104"/>
      <c r="D53" s="104" t="s">
        <v>649</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Formulaire_Fr!AN160</f>
        <v>0</v>
      </c>
      <c r="AP53" s="209" t="s">
        <v>45</v>
      </c>
      <c r="AQ53" s="716"/>
      <c r="AR53" s="717"/>
      <c r="AS53" s="323" t="e">
        <f>AO53/AP44</f>
        <v>#DIV/0!</v>
      </c>
      <c r="AT53" s="209" t="s">
        <v>82</v>
      </c>
      <c r="AU53" s="715"/>
      <c r="AV53" s="714"/>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Formulaire_Fr!AN161</f>
        <v>0</v>
      </c>
      <c r="AP54" s="209" t="s">
        <v>45</v>
      </c>
      <c r="AQ54" s="716">
        <f>IFERROR(IF(AO51&lt;&gt;0,0,IF(AS55&gt;AS54,AS55,AS54)),0)</f>
        <v>0</v>
      </c>
      <c r="AR54" s="717" t="s">
        <v>82</v>
      </c>
      <c r="AS54" s="323" t="e">
        <f>AO54/AP43</f>
        <v>#DIV/0!</v>
      </c>
      <c r="AT54" s="209" t="s">
        <v>82</v>
      </c>
      <c r="AU54" s="715"/>
      <c r="AV54" s="714"/>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Formulaire_Fr!AN162</f>
        <v>0</v>
      </c>
      <c r="AP55" s="209" t="s">
        <v>45</v>
      </c>
      <c r="AQ55" s="716"/>
      <c r="AR55" s="717"/>
      <c r="AS55" s="323" t="e">
        <f>AO55/AP44</f>
        <v>#DIV/0!</v>
      </c>
      <c r="AT55" s="209" t="s">
        <v>82</v>
      </c>
      <c r="AU55" s="715"/>
      <c r="AV55" s="714"/>
    </row>
    <row r="56" spans="1:50" ht="23.25" customHeight="1" x14ac:dyDescent="0.2">
      <c r="B56" s="523" t="s">
        <v>4</v>
      </c>
      <c r="C56" s="523"/>
      <c r="D56" s="523"/>
      <c r="E56" s="523"/>
      <c r="F56" s="523"/>
      <c r="G56" s="523"/>
      <c r="H56" s="524" t="s">
        <v>9</v>
      </c>
      <c r="I56" s="525"/>
      <c r="J56" s="525"/>
      <c r="K56" s="525"/>
      <c r="L56" s="525"/>
      <c r="M56" s="525"/>
      <c r="N56" s="525"/>
      <c r="O56" s="525"/>
      <c r="P56" s="525"/>
      <c r="Q56" s="525"/>
      <c r="R56" s="525"/>
      <c r="S56" s="525"/>
      <c r="T56" s="526"/>
      <c r="U56" s="530" t="s">
        <v>220</v>
      </c>
      <c r="V56" s="531"/>
      <c r="W56" s="531"/>
      <c r="X56" s="531"/>
      <c r="Y56" s="531"/>
      <c r="Z56" s="531"/>
      <c r="AA56" s="531"/>
      <c r="AB56" s="531"/>
      <c r="AC56" s="531"/>
      <c r="AD56" s="531"/>
      <c r="AE56" s="531"/>
      <c r="AF56" s="531"/>
      <c r="AG56" s="532"/>
      <c r="AH56" s="28"/>
      <c r="AN56" s="257" t="s">
        <v>285</v>
      </c>
      <c r="AO56" s="420">
        <f>Formulaire_Fr!AN163</f>
        <v>0</v>
      </c>
      <c r="AP56" s="209" t="s">
        <v>45</v>
      </c>
      <c r="AQ56" s="716">
        <f>IFERROR(IF(AS57&gt;AS56,AS57,AS56),0)</f>
        <v>0</v>
      </c>
      <c r="AR56" s="717" t="s">
        <v>82</v>
      </c>
      <c r="AS56" s="423" t="e">
        <f>AO56/AP43</f>
        <v>#DIV/0!</v>
      </c>
      <c r="AT56" s="209" t="s">
        <v>82</v>
      </c>
      <c r="AU56" s="715"/>
      <c r="AV56" s="714"/>
    </row>
    <row r="57" spans="1:50" ht="16.5" thickBot="1" x14ac:dyDescent="0.25">
      <c r="B57" s="198"/>
      <c r="C57" s="198"/>
      <c r="D57" s="198"/>
      <c r="E57" s="198"/>
      <c r="F57" s="198"/>
      <c r="G57" s="198"/>
      <c r="H57" s="527"/>
      <c r="I57" s="528"/>
      <c r="J57" s="528"/>
      <c r="K57" s="528"/>
      <c r="L57" s="528"/>
      <c r="M57" s="528"/>
      <c r="N57" s="528"/>
      <c r="O57" s="528"/>
      <c r="P57" s="528"/>
      <c r="Q57" s="528"/>
      <c r="R57" s="528"/>
      <c r="S57" s="528"/>
      <c r="T57" s="529"/>
      <c r="U57" s="533"/>
      <c r="V57" s="534"/>
      <c r="W57" s="534"/>
      <c r="X57" s="534"/>
      <c r="Y57" s="534"/>
      <c r="Z57" s="534"/>
      <c r="AA57" s="534"/>
      <c r="AB57" s="534"/>
      <c r="AC57" s="534"/>
      <c r="AD57" s="534"/>
      <c r="AE57" s="534"/>
      <c r="AF57" s="534"/>
      <c r="AG57" s="535"/>
      <c r="AH57" s="28"/>
      <c r="AN57" s="257" t="s">
        <v>286</v>
      </c>
      <c r="AO57" s="420">
        <f>Formulaire_Fr!AN164</f>
        <v>0</v>
      </c>
      <c r="AP57" s="209" t="s">
        <v>45</v>
      </c>
      <c r="AQ57" s="716"/>
      <c r="AR57" s="717"/>
      <c r="AS57" s="423" t="e">
        <f>AO57/AP44</f>
        <v>#DIV/0!</v>
      </c>
      <c r="AT57" s="209" t="s">
        <v>82</v>
      </c>
      <c r="AU57" s="715"/>
      <c r="AV57" s="714"/>
    </row>
    <row r="58" spans="1:50" ht="12.75" x14ac:dyDescent="0.2">
      <c r="B58" s="17"/>
      <c r="C58" s="536" t="s">
        <v>7</v>
      </c>
      <c r="D58" s="536"/>
      <c r="E58" s="536"/>
      <c r="F58" s="536"/>
      <c r="G58" s="536"/>
      <c r="H58" s="537"/>
      <c r="I58" s="538"/>
      <c r="J58" s="538"/>
      <c r="K58" s="538"/>
      <c r="L58" s="538"/>
      <c r="M58" s="538"/>
      <c r="N58" s="538"/>
      <c r="O58" s="538"/>
      <c r="P58" s="538"/>
      <c r="Q58" s="538"/>
      <c r="R58" s="538"/>
      <c r="S58" s="538"/>
      <c r="T58" s="539"/>
      <c r="U58" s="729"/>
      <c r="V58" s="730"/>
      <c r="W58" s="730"/>
      <c r="X58" s="730"/>
      <c r="Y58" s="730"/>
      <c r="Z58" s="730"/>
      <c r="AA58" s="730"/>
      <c r="AB58" s="730"/>
      <c r="AC58" s="730"/>
      <c r="AD58" s="730"/>
      <c r="AE58" s="730"/>
      <c r="AF58" s="730"/>
      <c r="AG58" s="731"/>
      <c r="AH58" s="28"/>
      <c r="AU58" s="427" t="e">
        <f>SUM(AU48:AU57)</f>
        <v>#VALUE!</v>
      </c>
    </row>
    <row r="59" spans="1:50" ht="12.75" x14ac:dyDescent="0.2">
      <c r="B59" s="17"/>
      <c r="C59" s="536"/>
      <c r="D59" s="536"/>
      <c r="E59" s="536"/>
      <c r="F59" s="536"/>
      <c r="G59" s="536"/>
      <c r="H59" s="543"/>
      <c r="I59" s="544"/>
      <c r="J59" s="544"/>
      <c r="K59" s="544"/>
      <c r="L59" s="544"/>
      <c r="M59" s="544"/>
      <c r="N59" s="544"/>
      <c r="O59" s="544"/>
      <c r="P59" s="544"/>
      <c r="Q59" s="544"/>
      <c r="R59" s="544"/>
      <c r="S59" s="544"/>
      <c r="T59" s="545"/>
      <c r="U59" s="723"/>
      <c r="V59" s="724"/>
      <c r="W59" s="724"/>
      <c r="X59" s="724"/>
      <c r="Y59" s="724"/>
      <c r="Z59" s="724"/>
      <c r="AA59" s="724"/>
      <c r="AB59" s="724"/>
      <c r="AC59" s="724"/>
      <c r="AD59" s="724"/>
      <c r="AE59" s="724"/>
      <c r="AF59" s="724"/>
      <c r="AG59" s="725"/>
      <c r="AH59" s="28"/>
    </row>
    <row r="60" spans="1:50" s="428" customFormat="1" ht="18.75" customHeight="1" x14ac:dyDescent="0.2">
      <c r="A60" s="62"/>
      <c r="B60" s="19"/>
      <c r="C60" s="558" t="s">
        <v>5</v>
      </c>
      <c r="D60" s="558"/>
      <c r="E60" s="558"/>
      <c r="F60" s="558"/>
      <c r="G60" s="558"/>
      <c r="H60" s="543"/>
      <c r="I60" s="544"/>
      <c r="J60" s="544"/>
      <c r="K60" s="544"/>
      <c r="L60" s="544"/>
      <c r="M60" s="544"/>
      <c r="N60" s="544"/>
      <c r="O60" s="544"/>
      <c r="P60" s="544"/>
      <c r="Q60" s="544"/>
      <c r="R60" s="544"/>
      <c r="S60" s="544"/>
      <c r="T60" s="545"/>
      <c r="U60" s="733"/>
      <c r="V60" s="734"/>
      <c r="W60" s="734"/>
      <c r="X60" s="734"/>
      <c r="Y60" s="734"/>
      <c r="Z60" s="734"/>
      <c r="AA60" s="734"/>
      <c r="AB60" s="734"/>
      <c r="AC60" s="734"/>
      <c r="AD60" s="734"/>
      <c r="AE60" s="734"/>
      <c r="AF60" s="734"/>
      <c r="AG60" s="735"/>
      <c r="AH60" s="28"/>
      <c r="AI60" s="28"/>
      <c r="AL60" s="429">
        <v>0</v>
      </c>
      <c r="AM60" s="429"/>
      <c r="AN60" s="429"/>
    </row>
    <row r="61" spans="1:50" s="428" customFormat="1" ht="14.25" x14ac:dyDescent="0.2">
      <c r="A61" s="62"/>
      <c r="B61" s="19"/>
      <c r="C61" s="558" t="s">
        <v>697</v>
      </c>
      <c r="D61" s="558"/>
      <c r="E61" s="558"/>
      <c r="F61" s="558"/>
      <c r="G61" s="558"/>
      <c r="H61" s="543"/>
      <c r="I61" s="544"/>
      <c r="J61" s="544"/>
      <c r="K61" s="544"/>
      <c r="L61" s="544"/>
      <c r="M61" s="544"/>
      <c r="N61" s="544"/>
      <c r="O61" s="544"/>
      <c r="P61" s="544"/>
      <c r="Q61" s="544"/>
      <c r="R61" s="544"/>
      <c r="S61" s="544"/>
      <c r="T61" s="545"/>
      <c r="U61" s="733"/>
      <c r="V61" s="734"/>
      <c r="W61" s="734"/>
      <c r="X61" s="734"/>
      <c r="Y61" s="734"/>
      <c r="Z61" s="734"/>
      <c r="AA61" s="734"/>
      <c r="AB61" s="734"/>
      <c r="AC61" s="734"/>
      <c r="AD61" s="734"/>
      <c r="AE61" s="734"/>
      <c r="AF61" s="734"/>
      <c r="AG61" s="735"/>
      <c r="AH61" s="28"/>
      <c r="AI61" s="28"/>
    </row>
    <row r="62" spans="1:50" ht="14.25" x14ac:dyDescent="0.2">
      <c r="B62" s="17"/>
      <c r="C62" s="536" t="s">
        <v>8</v>
      </c>
      <c r="D62" s="536"/>
      <c r="E62" s="536"/>
      <c r="F62" s="536"/>
      <c r="G62" s="536"/>
      <c r="H62" s="543"/>
      <c r="I62" s="544"/>
      <c r="J62" s="544"/>
      <c r="K62" s="544"/>
      <c r="L62" s="544"/>
      <c r="M62" s="544"/>
      <c r="N62" s="544"/>
      <c r="O62" s="544"/>
      <c r="P62" s="544"/>
      <c r="Q62" s="544"/>
      <c r="R62" s="544"/>
      <c r="S62" s="544"/>
      <c r="T62" s="545"/>
      <c r="U62" s="736"/>
      <c r="V62" s="737"/>
      <c r="W62" s="737"/>
      <c r="X62" s="737"/>
      <c r="Y62" s="737"/>
      <c r="Z62" s="737"/>
      <c r="AA62" s="737"/>
      <c r="AB62" s="737"/>
      <c r="AC62" s="737"/>
      <c r="AD62" s="737"/>
      <c r="AE62" s="737"/>
      <c r="AF62" s="737"/>
      <c r="AG62" s="738"/>
      <c r="AH62" s="28"/>
      <c r="AL62" s="429">
        <v>0</v>
      </c>
      <c r="AM62" s="429"/>
      <c r="AN62" s="428"/>
      <c r="AO62" s="428"/>
      <c r="AP62" s="428"/>
      <c r="AQ62" s="428"/>
      <c r="AR62" s="428"/>
      <c r="AS62" s="428"/>
      <c r="AT62" s="428"/>
      <c r="AU62" s="428"/>
      <c r="AV62" s="428"/>
      <c r="AW62" s="428"/>
      <c r="AX62" s="428"/>
    </row>
    <row r="63" spans="1:50" ht="21.75" customHeight="1" x14ac:dyDescent="0.2">
      <c r="B63" s="17"/>
      <c r="C63" s="536"/>
      <c r="D63" s="536"/>
      <c r="E63" s="536"/>
      <c r="F63" s="536"/>
      <c r="G63" s="536"/>
      <c r="H63" s="552"/>
      <c r="I63" s="553"/>
      <c r="J63" s="553"/>
      <c r="K63" s="553"/>
      <c r="L63" s="553"/>
      <c r="M63" s="553"/>
      <c r="N63" s="553"/>
      <c r="O63" s="553"/>
      <c r="P63" s="553"/>
      <c r="Q63" s="553"/>
      <c r="R63" s="553"/>
      <c r="S63" s="553"/>
      <c r="T63" s="554"/>
      <c r="U63" s="739"/>
      <c r="V63" s="740"/>
      <c r="W63" s="740"/>
      <c r="X63" s="740"/>
      <c r="Y63" s="740"/>
      <c r="Z63" s="740"/>
      <c r="AA63" s="740"/>
      <c r="AB63" s="740"/>
      <c r="AC63" s="740"/>
      <c r="AD63" s="740"/>
      <c r="AE63" s="740"/>
      <c r="AF63" s="740"/>
      <c r="AG63" s="741"/>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698</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ht="12.75" hidden="1" x14ac:dyDescent="0.2"/>
    <row r="82" ht="20.25" hidden="1" customHeight="1" x14ac:dyDescent="0.2"/>
    <row r="83" ht="12.75" hidden="1" x14ac:dyDescent="0.2"/>
    <row r="84" ht="12.75" hidden="1" x14ac:dyDescent="0.2"/>
    <row r="85" ht="20.85" hidden="1" customHeight="1" x14ac:dyDescent="0.2"/>
    <row r="86" ht="12.75" hidden="1" x14ac:dyDescent="0.2"/>
    <row r="87" ht="12.75" hidden="1" x14ac:dyDescent="0.2"/>
    <row r="88" ht="12.75" hidden="1" x14ac:dyDescent="0.2"/>
    <row r="89" ht="20.100000000000001"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sheetData>
  <sheetProtection algorithmName="SHA-512" hashValue="uRanLAUxscjqTnmqfOBH0v38E8+VvDEi9Cd9Tp55BWYGV0PGb0XlRskRWvroXCULUFZoX/yO3rwWDpuIliFC+g==" saltValue="/UWMeD+8zJMNMXDcVPBsMw==" spinCount="100000" sheet="1" objects="1" scenarios="1"/>
  <mergeCells count="132">
    <mergeCell ref="F18:G18"/>
    <mergeCell ref="H18:I18"/>
    <mergeCell ref="J18:K18"/>
    <mergeCell ref="L18:M18"/>
    <mergeCell ref="N18:O18"/>
    <mergeCell ref="P18:Q18"/>
    <mergeCell ref="R18:S18"/>
    <mergeCell ref="T18:U18"/>
    <mergeCell ref="V18:W18"/>
    <mergeCell ref="AV25:AV27"/>
    <mergeCell ref="AU28:AU34"/>
    <mergeCell ref="AV28:AV34"/>
    <mergeCell ref="AQ29:AQ30"/>
    <mergeCell ref="AR29:AR30"/>
    <mergeCell ref="AQ31:AQ32"/>
    <mergeCell ref="AR31:AR32"/>
    <mergeCell ref="AQ33:AQ34"/>
    <mergeCell ref="AR33:AR34"/>
    <mergeCell ref="AU25:AU27"/>
    <mergeCell ref="F17:G17"/>
    <mergeCell ref="H17:I17"/>
    <mergeCell ref="J17:K17"/>
    <mergeCell ref="L17:M17"/>
    <mergeCell ref="N17:O17"/>
    <mergeCell ref="P17:Q17"/>
    <mergeCell ref="R17:S17"/>
    <mergeCell ref="T17:U17"/>
    <mergeCell ref="V17:W17"/>
    <mergeCell ref="F16:G16"/>
    <mergeCell ref="H16:I16"/>
    <mergeCell ref="J16:K16"/>
    <mergeCell ref="L16:M16"/>
    <mergeCell ref="N16:O16"/>
    <mergeCell ref="P16:Q16"/>
    <mergeCell ref="R16:S16"/>
    <mergeCell ref="T16:U16"/>
    <mergeCell ref="V16:W16"/>
    <mergeCell ref="W14:X14"/>
    <mergeCell ref="X16:Y16"/>
    <mergeCell ref="O26:AF26"/>
    <mergeCell ref="X17:Y17"/>
    <mergeCell ref="Z17:AA17"/>
    <mergeCell ref="AB17:AC17"/>
    <mergeCell ref="AD17:AE17"/>
    <mergeCell ref="AF17:AH17"/>
    <mergeCell ref="AD19:AE19"/>
    <mergeCell ref="AF19:AH19"/>
    <mergeCell ref="AA14:AB14"/>
    <mergeCell ref="AD18:AE18"/>
    <mergeCell ref="AF18:AH18"/>
    <mergeCell ref="X18:Y18"/>
    <mergeCell ref="Z18:AA18"/>
    <mergeCell ref="AB18:AC18"/>
    <mergeCell ref="B43:AH45"/>
    <mergeCell ref="V32:W32"/>
    <mergeCell ref="Z16:AA16"/>
    <mergeCell ref="AB16:AC16"/>
    <mergeCell ref="AD16:AE16"/>
    <mergeCell ref="C61:G61"/>
    <mergeCell ref="H61:T61"/>
    <mergeCell ref="U61:AG61"/>
    <mergeCell ref="C62:G63"/>
    <mergeCell ref="H62:T62"/>
    <mergeCell ref="U62:AG62"/>
    <mergeCell ref="H63:T63"/>
    <mergeCell ref="U63:AG63"/>
    <mergeCell ref="C60:G60"/>
    <mergeCell ref="H60:T60"/>
    <mergeCell ref="U60:AG60"/>
    <mergeCell ref="O28:AF28"/>
    <mergeCell ref="O30:AF30"/>
    <mergeCell ref="Z35:AA35"/>
    <mergeCell ref="AB35:AC35"/>
    <mergeCell ref="AD35:AE35"/>
    <mergeCell ref="AF35:AH35"/>
    <mergeCell ref="T35:U35"/>
    <mergeCell ref="V35:W35"/>
    <mergeCell ref="B46:AH47"/>
    <mergeCell ref="AD36:AE36"/>
    <mergeCell ref="AF39:AG39"/>
    <mergeCell ref="C38:AA39"/>
    <mergeCell ref="AF41:AG41"/>
    <mergeCell ref="U59:AG59"/>
    <mergeCell ref="B9:D9"/>
    <mergeCell ref="F9:AH9"/>
    <mergeCell ref="B2:F5"/>
    <mergeCell ref="G2:O5"/>
    <mergeCell ref="P2:Y5"/>
    <mergeCell ref="Z2:AH5"/>
    <mergeCell ref="B7:E7"/>
    <mergeCell ref="F7:P7"/>
    <mergeCell ref="Q7:T7"/>
    <mergeCell ref="U7:Z7"/>
    <mergeCell ref="AE7:AH7"/>
    <mergeCell ref="B56:G56"/>
    <mergeCell ref="H56:T57"/>
    <mergeCell ref="U56:AG57"/>
    <mergeCell ref="C58:G59"/>
    <mergeCell ref="H58:T58"/>
    <mergeCell ref="U58:AG58"/>
    <mergeCell ref="H59:T59"/>
    <mergeCell ref="AU48:AU50"/>
    <mergeCell ref="AV48:AV50"/>
    <mergeCell ref="AU51:AU57"/>
    <mergeCell ref="AV51:AV57"/>
    <mergeCell ref="AQ52:AQ53"/>
    <mergeCell ref="AR52:AR53"/>
    <mergeCell ref="AQ54:AQ55"/>
    <mergeCell ref="AR54:AR55"/>
    <mergeCell ref="AQ56:AQ57"/>
    <mergeCell ref="AR56:AR57"/>
    <mergeCell ref="X34:Y34"/>
    <mergeCell ref="Z34:AA34"/>
    <mergeCell ref="AB34:AC34"/>
    <mergeCell ref="AD34:AE34"/>
    <mergeCell ref="F35:G35"/>
    <mergeCell ref="H35:I35"/>
    <mergeCell ref="J35:K35"/>
    <mergeCell ref="L35:M35"/>
    <mergeCell ref="N35:O35"/>
    <mergeCell ref="P35:Q35"/>
    <mergeCell ref="F34:G34"/>
    <mergeCell ref="H34:I34"/>
    <mergeCell ref="J34:K34"/>
    <mergeCell ref="L34:M34"/>
    <mergeCell ref="N34:O34"/>
    <mergeCell ref="P34:Q34"/>
    <mergeCell ref="R34:S34"/>
    <mergeCell ref="T34:U34"/>
    <mergeCell ref="V34:W34"/>
    <mergeCell ref="R35:S35"/>
    <mergeCell ref="X35:Y35"/>
  </mergeCells>
  <conditionalFormatting sqref="A11:AI11 AI12:AI37 AN14:AN22 AN39:AN45">
    <cfRule type="expression" dxfId="203" priority="85">
      <formula>#REF!=FALSE</formula>
    </cfRule>
  </conditionalFormatting>
  <conditionalFormatting sqref="B43:AH45">
    <cfRule type="expression" dxfId="202" priority="201">
      <formula>$B$43="Il n'y a pas de participation financière indiquée"</formula>
    </cfRule>
    <cfRule type="expression" dxfId="201" priority="202">
      <formula>$AE$39&gt;$AE$41</formula>
    </cfRule>
    <cfRule type="expression" dxfId="200" priority="203">
      <formula>$AE$41&gt;=$AE$39</formula>
    </cfRule>
  </conditionalFormatting>
  <conditionalFormatting sqref="AE41:AG41">
    <cfRule type="expression" dxfId="195" priority="2">
      <formula>$AE$41&gt;$V$32</formula>
    </cfRule>
  </conditionalFormatting>
  <conditionalFormatting sqref="AG42">
    <cfRule type="expression" dxfId="194" priority="1">
      <formula>$AE$41&lt;=$V$32</formula>
    </cfRule>
  </conditionalFormatting>
  <conditionalFormatting sqref="BG11:BG52">
    <cfRule type="cellIs" dxfId="193" priority="15"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95" r:id="rId4" name="Check Box 1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42001" r:id="rId5" name="Check Box 17">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42024" r:id="rId6" name="Check Box 40">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FF7F206A-67A8-4BE1-BB2B-AB40DB06C05D}">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3" id="{79DEFE40-BF42-44EB-84B2-56CB189F1129}">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8" id="{C6442CBA-CFA7-454E-9F84-A3F369CEE2F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784A9F3C-4FBF-4292-953A-74DEE4462A4F}">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BD7D-092F-40CA-9C69-9036A555BB0B}">
  <sheetPr codeName="Feuil9">
    <pageSetUpPr fitToPage="1"/>
  </sheetPr>
  <dimension ref="A1:X72"/>
  <sheetViews>
    <sheetView topLeftCell="A26" zoomScaleNormal="100" workbookViewId="0">
      <selection activeCell="S18" sqref="S18"/>
    </sheetView>
  </sheetViews>
  <sheetFormatPr baseColWidth="10" defaultColWidth="0" defaultRowHeight="0" customHeight="1" zeroHeight="1" x14ac:dyDescent="0.35"/>
  <cols>
    <col min="1" max="1" width="4.1640625" style="351" customWidth="1"/>
    <col min="2" max="2" width="11.5" style="351" customWidth="1"/>
    <col min="3" max="3" width="10.6640625" style="351" customWidth="1"/>
    <col min="4" max="4" width="5.1640625" style="351" customWidth="1"/>
    <col min="5" max="5" width="5.1640625" style="352" customWidth="1"/>
    <col min="6" max="6" width="3.33203125" style="352" customWidth="1"/>
    <col min="7" max="8" width="4.83203125" style="352" customWidth="1"/>
    <col min="9" max="19" width="11.5" style="352" customWidth="1"/>
    <col min="20" max="20" width="13.83203125" style="352" customWidth="1"/>
    <col min="21" max="24" width="0" style="351" hidden="1" customWidth="1"/>
    <col min="25" max="16384" width="11.5" style="351" hidden="1"/>
  </cols>
  <sheetData>
    <row r="1" spans="2:20" ht="21" x14ac:dyDescent="0.35"/>
    <row r="2" spans="2:20" ht="18.75" customHeight="1" x14ac:dyDescent="0.3">
      <c r="E2" s="446" t="s">
        <v>393</v>
      </c>
      <c r="F2" s="446"/>
      <c r="G2" s="446"/>
      <c r="H2" s="446"/>
      <c r="I2" s="446"/>
      <c r="J2" s="446"/>
      <c r="K2" s="446"/>
      <c r="L2" s="446"/>
      <c r="M2" s="446"/>
      <c r="N2" s="446"/>
      <c r="O2" s="446"/>
      <c r="P2" s="446"/>
      <c r="Q2" s="446"/>
      <c r="R2" s="446"/>
      <c r="S2" s="446"/>
      <c r="T2" s="353"/>
    </row>
    <row r="3" spans="2:20" ht="18.75" customHeight="1" x14ac:dyDescent="0.3">
      <c r="E3" s="446"/>
      <c r="F3" s="446"/>
      <c r="G3" s="446"/>
      <c r="H3" s="446"/>
      <c r="I3" s="446"/>
      <c r="J3" s="446"/>
      <c r="K3" s="446"/>
      <c r="L3" s="446"/>
      <c r="M3" s="446"/>
      <c r="N3" s="446"/>
      <c r="O3" s="446"/>
      <c r="P3" s="446"/>
      <c r="Q3" s="446"/>
      <c r="R3" s="446"/>
      <c r="S3" s="446"/>
      <c r="T3" s="353"/>
    </row>
    <row r="4" spans="2:20" ht="18.75" customHeight="1" x14ac:dyDescent="0.3">
      <c r="E4" s="446"/>
      <c r="F4" s="446"/>
      <c r="G4" s="446"/>
      <c r="H4" s="446"/>
      <c r="I4" s="446"/>
      <c r="J4" s="446"/>
      <c r="K4" s="446"/>
      <c r="L4" s="446"/>
      <c r="M4" s="446"/>
      <c r="N4" s="446"/>
      <c r="O4" s="446"/>
      <c r="P4" s="446"/>
      <c r="Q4" s="446"/>
      <c r="R4" s="446"/>
      <c r="S4" s="446"/>
      <c r="T4" s="353"/>
    </row>
    <row r="5" spans="2:20" ht="21.75" thickBot="1" x14ac:dyDescent="0.4">
      <c r="B5" s="354"/>
      <c r="C5" s="354"/>
      <c r="D5" s="354"/>
      <c r="E5" s="355"/>
      <c r="F5" s="355"/>
      <c r="G5" s="355"/>
      <c r="H5" s="355"/>
      <c r="I5" s="355"/>
      <c r="J5" s="355"/>
      <c r="K5" s="355"/>
      <c r="L5" s="355"/>
      <c r="M5" s="355"/>
      <c r="N5" s="355"/>
      <c r="O5" s="356" t="s">
        <v>562</v>
      </c>
      <c r="P5" s="447" t="s">
        <v>563</v>
      </c>
      <c r="Q5" s="447"/>
      <c r="R5" s="447"/>
      <c r="S5" s="447"/>
    </row>
    <row r="6" spans="2:20" ht="21" x14ac:dyDescent="0.35"/>
    <row r="7" spans="2:20" ht="21" x14ac:dyDescent="0.35">
      <c r="B7" s="448" t="s">
        <v>394</v>
      </c>
      <c r="C7" s="449"/>
      <c r="E7" s="357" t="s">
        <v>564</v>
      </c>
    </row>
    <row r="8" spans="2:20" ht="21" x14ac:dyDescent="0.35">
      <c r="B8" s="450"/>
      <c r="C8" s="451"/>
      <c r="E8" s="358" t="s">
        <v>395</v>
      </c>
    </row>
    <row r="9" spans="2:20" ht="6" customHeight="1" x14ac:dyDescent="0.35">
      <c r="B9" s="450"/>
      <c r="C9" s="451"/>
      <c r="E9" s="358"/>
    </row>
    <row r="10" spans="2:20" ht="18.75" customHeight="1" x14ac:dyDescent="0.35">
      <c r="B10" s="450"/>
      <c r="C10" s="451"/>
      <c r="E10" s="359" t="s">
        <v>361</v>
      </c>
      <c r="F10" s="445" t="s">
        <v>396</v>
      </c>
      <c r="G10" s="445"/>
      <c r="H10" s="445"/>
      <c r="I10" s="445"/>
      <c r="J10" s="445"/>
      <c r="K10" s="445"/>
      <c r="L10" s="445"/>
      <c r="M10" s="445"/>
      <c r="N10" s="445"/>
      <c r="O10" s="445"/>
      <c r="P10" s="445"/>
      <c r="Q10" s="445"/>
      <c r="R10" s="445"/>
      <c r="S10" s="445"/>
      <c r="T10" s="361"/>
    </row>
    <row r="11" spans="2:20" ht="18.75" customHeight="1" x14ac:dyDescent="0.35">
      <c r="B11" s="450"/>
      <c r="C11" s="451"/>
      <c r="E11" s="359"/>
      <c r="F11" s="445"/>
      <c r="G11" s="445"/>
      <c r="H11" s="445"/>
      <c r="I11" s="445"/>
      <c r="J11" s="445"/>
      <c r="K11" s="445"/>
      <c r="L11" s="445"/>
      <c r="M11" s="445"/>
      <c r="N11" s="445"/>
      <c r="O11" s="445"/>
      <c r="P11" s="445"/>
      <c r="Q11" s="445"/>
      <c r="R11" s="445"/>
      <c r="S11" s="445"/>
      <c r="T11" s="361"/>
    </row>
    <row r="12" spans="2:20" ht="18.75" customHeight="1" x14ac:dyDescent="0.35">
      <c r="B12" s="450"/>
      <c r="C12" s="451"/>
      <c r="E12" s="359"/>
      <c r="F12" s="445"/>
      <c r="G12" s="445"/>
      <c r="H12" s="445"/>
      <c r="I12" s="445"/>
      <c r="J12" s="445"/>
      <c r="K12" s="445"/>
      <c r="L12" s="445"/>
      <c r="M12" s="445"/>
      <c r="N12" s="445"/>
      <c r="O12" s="445"/>
      <c r="P12" s="445"/>
      <c r="Q12" s="445"/>
      <c r="R12" s="445"/>
      <c r="S12" s="445"/>
      <c r="T12" s="361"/>
    </row>
    <row r="13" spans="2:20" ht="21" x14ac:dyDescent="0.3">
      <c r="B13" s="450"/>
      <c r="C13" s="451"/>
      <c r="E13" s="362"/>
      <c r="F13" s="445"/>
      <c r="G13" s="445"/>
      <c r="H13" s="445"/>
      <c r="I13" s="445"/>
      <c r="J13" s="445"/>
      <c r="K13" s="445"/>
      <c r="L13" s="445"/>
      <c r="M13" s="445"/>
      <c r="N13" s="445"/>
      <c r="O13" s="445"/>
      <c r="P13" s="445"/>
      <c r="Q13" s="445"/>
      <c r="R13" s="445"/>
      <c r="S13" s="445"/>
      <c r="T13" s="361"/>
    </row>
    <row r="14" spans="2:20" ht="5.25" customHeight="1" x14ac:dyDescent="0.3">
      <c r="B14" s="450"/>
      <c r="C14" s="451"/>
      <c r="E14" s="362"/>
      <c r="F14" s="360"/>
      <c r="G14" s="360"/>
      <c r="H14" s="360"/>
      <c r="I14" s="360"/>
      <c r="J14" s="360"/>
      <c r="K14" s="360"/>
      <c r="L14" s="360"/>
      <c r="M14" s="360"/>
      <c r="N14" s="360"/>
      <c r="O14" s="360"/>
      <c r="P14" s="360"/>
      <c r="Q14" s="360"/>
      <c r="R14" s="360"/>
      <c r="S14" s="360"/>
      <c r="T14" s="360"/>
    </row>
    <row r="15" spans="2:20" ht="18.75" customHeight="1" x14ac:dyDescent="0.35">
      <c r="B15" s="450"/>
      <c r="C15" s="451"/>
      <c r="E15" s="359" t="s">
        <v>363</v>
      </c>
      <c r="F15" s="445" t="s">
        <v>397</v>
      </c>
      <c r="G15" s="445"/>
      <c r="H15" s="445"/>
      <c r="I15" s="445"/>
      <c r="J15" s="445"/>
      <c r="K15" s="445"/>
      <c r="L15" s="445"/>
      <c r="M15" s="445"/>
      <c r="N15" s="445"/>
      <c r="O15" s="445"/>
      <c r="P15" s="445"/>
      <c r="Q15" s="445"/>
      <c r="R15" s="445"/>
      <c r="S15" s="445"/>
      <c r="T15" s="361"/>
    </row>
    <row r="16" spans="2:20" ht="18.75" customHeight="1" x14ac:dyDescent="0.35">
      <c r="B16" s="450"/>
      <c r="C16" s="451"/>
      <c r="E16" s="359"/>
      <c r="F16" s="445"/>
      <c r="G16" s="445"/>
      <c r="H16" s="445"/>
      <c r="I16" s="445"/>
      <c r="J16" s="445"/>
      <c r="K16" s="445"/>
      <c r="L16" s="445"/>
      <c r="M16" s="445"/>
      <c r="N16" s="445"/>
      <c r="O16" s="445"/>
      <c r="P16" s="445"/>
      <c r="Q16" s="445"/>
      <c r="R16" s="445"/>
      <c r="S16" s="445"/>
      <c r="T16" s="361"/>
    </row>
    <row r="17" spans="2:20" ht="21" x14ac:dyDescent="0.3">
      <c r="B17" s="452"/>
      <c r="C17" s="453"/>
      <c r="E17" s="362"/>
      <c r="F17" s="445"/>
      <c r="G17" s="445"/>
      <c r="H17" s="445"/>
      <c r="I17" s="445"/>
      <c r="J17" s="445"/>
      <c r="K17" s="445"/>
      <c r="L17" s="445"/>
      <c r="M17" s="445"/>
      <c r="N17" s="445"/>
      <c r="O17" s="445"/>
      <c r="P17" s="445"/>
      <c r="Q17" s="445"/>
      <c r="R17" s="445"/>
      <c r="S17" s="445"/>
      <c r="T17" s="361"/>
    </row>
    <row r="18" spans="2:20" ht="21" x14ac:dyDescent="0.35"/>
    <row r="19" spans="2:20" ht="21" x14ac:dyDescent="0.35">
      <c r="B19" s="439"/>
      <c r="C19" s="440"/>
      <c r="E19" s="357" t="s">
        <v>398</v>
      </c>
    </row>
    <row r="20" spans="2:20" ht="21" x14ac:dyDescent="0.35">
      <c r="B20" s="441"/>
      <c r="C20" s="442"/>
      <c r="E20" s="358" t="s">
        <v>395</v>
      </c>
    </row>
    <row r="21" spans="2:20" ht="4.5" customHeight="1" x14ac:dyDescent="0.35">
      <c r="B21" s="441"/>
      <c r="C21" s="442"/>
      <c r="E21" s="358"/>
    </row>
    <row r="22" spans="2:20" ht="18.75" customHeight="1" x14ac:dyDescent="0.35">
      <c r="B22" s="441"/>
      <c r="C22" s="442"/>
      <c r="F22" s="445" t="s">
        <v>565</v>
      </c>
      <c r="G22" s="445"/>
      <c r="H22" s="445"/>
      <c r="I22" s="445"/>
      <c r="J22" s="445"/>
      <c r="K22" s="445"/>
      <c r="L22" s="445"/>
      <c r="M22" s="445"/>
      <c r="N22" s="445"/>
      <c r="O22" s="445"/>
      <c r="P22" s="445"/>
      <c r="Q22" s="445"/>
      <c r="R22" s="445"/>
      <c r="S22" s="445"/>
      <c r="T22" s="361"/>
    </row>
    <row r="23" spans="2:20" ht="21" x14ac:dyDescent="0.3">
      <c r="B23" s="441"/>
      <c r="C23" s="442"/>
      <c r="E23" s="361"/>
      <c r="F23" s="445"/>
      <c r="G23" s="445"/>
      <c r="H23" s="445"/>
      <c r="I23" s="445"/>
      <c r="J23" s="445"/>
      <c r="K23" s="445"/>
      <c r="L23" s="445"/>
      <c r="M23" s="445"/>
      <c r="N23" s="445"/>
      <c r="O23" s="445"/>
      <c r="P23" s="445"/>
      <c r="Q23" s="445"/>
      <c r="R23" s="445"/>
      <c r="S23" s="445"/>
      <c r="T23" s="361"/>
    </row>
    <row r="24" spans="2:20" ht="21" x14ac:dyDescent="0.3">
      <c r="B24" s="441"/>
      <c r="C24" s="442"/>
      <c r="E24" s="361"/>
      <c r="F24" s="445"/>
      <c r="G24" s="445"/>
      <c r="H24" s="445"/>
      <c r="I24" s="445"/>
      <c r="J24" s="445"/>
      <c r="K24" s="445"/>
      <c r="L24" s="445"/>
      <c r="M24" s="445"/>
      <c r="N24" s="445"/>
      <c r="O24" s="445"/>
      <c r="P24" s="445"/>
      <c r="Q24" s="445"/>
      <c r="R24" s="445"/>
      <c r="S24" s="445"/>
      <c r="T24" s="361"/>
    </row>
    <row r="25" spans="2:20" ht="21" x14ac:dyDescent="0.3">
      <c r="B25" s="441"/>
      <c r="C25" s="442"/>
      <c r="E25" s="361"/>
      <c r="F25" s="445"/>
      <c r="G25" s="445"/>
      <c r="H25" s="445"/>
      <c r="I25" s="445"/>
      <c r="J25" s="445"/>
      <c r="K25" s="445"/>
      <c r="L25" s="445"/>
      <c r="M25" s="445"/>
      <c r="N25" s="445"/>
      <c r="O25" s="445"/>
      <c r="P25" s="445"/>
      <c r="Q25" s="445"/>
      <c r="R25" s="445"/>
      <c r="S25" s="445"/>
      <c r="T25" s="361"/>
    </row>
    <row r="26" spans="2:20" ht="21" x14ac:dyDescent="0.3">
      <c r="B26" s="441"/>
      <c r="C26" s="442"/>
      <c r="E26" s="361"/>
      <c r="F26" s="445"/>
      <c r="G26" s="445"/>
      <c r="H26" s="445"/>
      <c r="I26" s="445"/>
      <c r="J26" s="445"/>
      <c r="K26" s="445"/>
      <c r="L26" s="445"/>
      <c r="M26" s="445"/>
      <c r="N26" s="445"/>
      <c r="O26" s="445"/>
      <c r="P26" s="445"/>
      <c r="Q26" s="445"/>
      <c r="R26" s="445"/>
      <c r="S26" s="445"/>
      <c r="T26" s="361"/>
    </row>
    <row r="27" spans="2:20" ht="21" x14ac:dyDescent="0.3">
      <c r="B27" s="441"/>
      <c r="C27" s="442"/>
      <c r="E27" s="361"/>
      <c r="F27" s="445"/>
      <c r="G27" s="445"/>
      <c r="H27" s="445"/>
      <c r="I27" s="445"/>
      <c r="J27" s="445"/>
      <c r="K27" s="445"/>
      <c r="L27" s="445"/>
      <c r="M27" s="445"/>
      <c r="N27" s="445"/>
      <c r="O27" s="445"/>
      <c r="P27" s="445"/>
      <c r="Q27" s="445"/>
      <c r="R27" s="445"/>
      <c r="S27" s="445"/>
      <c r="T27" s="361"/>
    </row>
    <row r="28" spans="2:20" ht="21" x14ac:dyDescent="0.3">
      <c r="B28" s="441"/>
      <c r="C28" s="442"/>
      <c r="E28" s="361"/>
      <c r="F28" s="445"/>
      <c r="G28" s="445"/>
      <c r="H28" s="445"/>
      <c r="I28" s="445"/>
      <c r="J28" s="445"/>
      <c r="K28" s="445"/>
      <c r="L28" s="445"/>
      <c r="M28" s="445"/>
      <c r="N28" s="445"/>
      <c r="O28" s="445"/>
      <c r="P28" s="445"/>
      <c r="Q28" s="445"/>
      <c r="R28" s="445"/>
      <c r="S28" s="445"/>
      <c r="T28" s="361"/>
    </row>
    <row r="29" spans="2:20" ht="21" x14ac:dyDescent="0.3">
      <c r="B29" s="443"/>
      <c r="C29" s="444"/>
      <c r="E29" s="361"/>
      <c r="F29" s="445"/>
      <c r="G29" s="445"/>
      <c r="H29" s="445"/>
      <c r="I29" s="445"/>
      <c r="J29" s="445"/>
      <c r="K29" s="445"/>
      <c r="L29" s="445"/>
      <c r="M29" s="445"/>
      <c r="N29" s="445"/>
      <c r="O29" s="445"/>
      <c r="P29" s="445"/>
      <c r="Q29" s="445"/>
      <c r="R29" s="445"/>
      <c r="S29" s="445"/>
      <c r="T29" s="361"/>
    </row>
    <row r="30" spans="2:20" ht="21" x14ac:dyDescent="0.3">
      <c r="E30" s="360"/>
      <c r="F30" s="360"/>
      <c r="G30" s="360"/>
      <c r="H30" s="360"/>
      <c r="I30" s="360"/>
      <c r="J30" s="360"/>
      <c r="K30" s="360"/>
      <c r="L30" s="360"/>
      <c r="M30" s="360"/>
      <c r="N30" s="360"/>
      <c r="O30" s="360"/>
      <c r="P30" s="360"/>
      <c r="Q30" s="360"/>
      <c r="R30" s="360"/>
      <c r="S30" s="360"/>
      <c r="T30" s="360"/>
    </row>
    <row r="31" spans="2:20" ht="21" x14ac:dyDescent="0.35">
      <c r="B31" s="439"/>
      <c r="C31" s="440"/>
      <c r="E31" s="357" t="s">
        <v>399</v>
      </c>
    </row>
    <row r="32" spans="2:20" ht="5.25" customHeight="1" x14ac:dyDescent="0.35">
      <c r="B32" s="441"/>
      <c r="C32" s="442"/>
      <c r="E32" s="357"/>
    </row>
    <row r="33" spans="2:20" ht="21" x14ac:dyDescent="0.35">
      <c r="B33" s="441"/>
      <c r="C33" s="442"/>
      <c r="E33" s="359" t="s">
        <v>361</v>
      </c>
      <c r="F33" s="352" t="s">
        <v>566</v>
      </c>
    </row>
    <row r="34" spans="2:20" ht="5.25" customHeight="1" x14ac:dyDescent="0.35">
      <c r="B34" s="441"/>
      <c r="C34" s="442"/>
      <c r="E34" s="359"/>
    </row>
    <row r="35" spans="2:20" ht="21" x14ac:dyDescent="0.35">
      <c r="B35" s="441"/>
      <c r="C35" s="442"/>
      <c r="E35" s="359" t="s">
        <v>363</v>
      </c>
      <c r="F35" s="352" t="s">
        <v>567</v>
      </c>
    </row>
    <row r="36" spans="2:20" ht="6" customHeight="1" x14ac:dyDescent="0.35">
      <c r="B36" s="441"/>
      <c r="C36" s="442"/>
      <c r="E36" s="359"/>
    </row>
    <row r="37" spans="2:20" ht="21" customHeight="1" x14ac:dyDescent="0.35">
      <c r="B37" s="441"/>
      <c r="C37" s="442"/>
      <c r="E37" s="359" t="s">
        <v>368</v>
      </c>
      <c r="F37" s="445" t="s">
        <v>400</v>
      </c>
      <c r="G37" s="445"/>
      <c r="H37" s="445"/>
      <c r="I37" s="445"/>
      <c r="J37" s="445"/>
      <c r="K37" s="445"/>
      <c r="L37" s="445"/>
      <c r="M37" s="445"/>
      <c r="N37" s="445"/>
      <c r="O37" s="445"/>
      <c r="P37" s="445"/>
      <c r="Q37" s="445"/>
      <c r="R37" s="445"/>
      <c r="S37" s="445"/>
      <c r="T37" s="361"/>
    </row>
    <row r="38" spans="2:20" ht="21" x14ac:dyDescent="0.35">
      <c r="B38" s="443"/>
      <c r="C38" s="444"/>
      <c r="E38" s="363"/>
      <c r="F38" s="445"/>
      <c r="G38" s="445"/>
      <c r="H38" s="445"/>
      <c r="I38" s="445"/>
      <c r="J38" s="445"/>
      <c r="K38" s="445"/>
      <c r="L38" s="445"/>
      <c r="M38" s="445"/>
      <c r="N38" s="445"/>
      <c r="O38" s="445"/>
      <c r="P38" s="445"/>
      <c r="Q38" s="445"/>
      <c r="R38" s="445"/>
      <c r="S38" s="445"/>
      <c r="T38" s="361"/>
    </row>
    <row r="39" spans="2:20" ht="21" x14ac:dyDescent="0.35">
      <c r="F39" s="445"/>
      <c r="G39" s="445"/>
      <c r="H39" s="445"/>
      <c r="I39" s="445"/>
      <c r="J39" s="445"/>
      <c r="K39" s="445"/>
      <c r="L39" s="445"/>
      <c r="M39" s="445"/>
      <c r="N39" s="445"/>
      <c r="O39" s="445"/>
      <c r="P39" s="445"/>
      <c r="Q39" s="445"/>
      <c r="R39" s="445"/>
      <c r="S39" s="445"/>
    </row>
    <row r="40" spans="2:20" ht="21" x14ac:dyDescent="0.35">
      <c r="B40" s="439"/>
      <c r="C40" s="440"/>
      <c r="E40" s="357" t="s">
        <v>401</v>
      </c>
      <c r="F40" s="357"/>
    </row>
    <row r="41" spans="2:20" ht="21" x14ac:dyDescent="0.35">
      <c r="B41" s="441"/>
      <c r="C41" s="442"/>
    </row>
    <row r="42" spans="2:20" ht="21" x14ac:dyDescent="0.35">
      <c r="B42" s="441"/>
      <c r="C42" s="442"/>
      <c r="E42" s="466"/>
      <c r="F42" s="467"/>
      <c r="G42" s="468"/>
      <c r="I42" s="352" t="s">
        <v>402</v>
      </c>
    </row>
    <row r="43" spans="2:20" ht="21" x14ac:dyDescent="0.35">
      <c r="B43" s="441"/>
      <c r="C43" s="442"/>
    </row>
    <row r="44" spans="2:20" ht="21" x14ac:dyDescent="0.35">
      <c r="B44" s="441"/>
      <c r="C44" s="442"/>
      <c r="G44" s="364"/>
      <c r="I44" s="352" t="s">
        <v>403</v>
      </c>
    </row>
    <row r="45" spans="2:20" ht="21" x14ac:dyDescent="0.35">
      <c r="B45" s="441"/>
      <c r="C45" s="442"/>
    </row>
    <row r="46" spans="2:20" ht="21" x14ac:dyDescent="0.35">
      <c r="B46" s="441"/>
      <c r="C46" s="442"/>
      <c r="G46" s="364"/>
      <c r="I46" s="352" t="s">
        <v>404</v>
      </c>
    </row>
    <row r="47" spans="2:20" ht="21" x14ac:dyDescent="0.35">
      <c r="B47" s="441"/>
      <c r="C47" s="442"/>
    </row>
    <row r="48" spans="2:20" ht="21" x14ac:dyDescent="0.35">
      <c r="B48" s="441"/>
      <c r="C48" s="442"/>
      <c r="E48" s="364"/>
      <c r="F48" s="365" t="s">
        <v>405</v>
      </c>
      <c r="I48" s="445" t="s">
        <v>406</v>
      </c>
      <c r="J48" s="445"/>
      <c r="K48" s="445"/>
      <c r="L48" s="445"/>
      <c r="M48" s="445"/>
      <c r="N48" s="445"/>
      <c r="O48" s="445"/>
      <c r="P48" s="445"/>
      <c r="Q48" s="445"/>
      <c r="R48" s="445"/>
      <c r="S48" s="445"/>
    </row>
    <row r="49" spans="2:19" ht="21" x14ac:dyDescent="0.35">
      <c r="B49" s="441"/>
      <c r="C49" s="442"/>
      <c r="F49" s="365"/>
      <c r="I49" s="445"/>
      <c r="J49" s="445"/>
      <c r="K49" s="445"/>
      <c r="L49" s="445"/>
      <c r="M49" s="445"/>
      <c r="N49" s="445"/>
      <c r="O49" s="445"/>
      <c r="P49" s="445"/>
      <c r="Q49" s="445"/>
      <c r="R49" s="445"/>
      <c r="S49" s="445"/>
    </row>
    <row r="50" spans="2:19" ht="21" x14ac:dyDescent="0.35">
      <c r="B50" s="441"/>
      <c r="C50" s="442"/>
    </row>
    <row r="51" spans="2:19" ht="21" x14ac:dyDescent="0.35">
      <c r="B51" s="441"/>
      <c r="C51" s="442"/>
      <c r="E51" s="469"/>
      <c r="F51" s="470"/>
      <c r="G51" s="471"/>
      <c r="I51" s="445" t="s">
        <v>407</v>
      </c>
      <c r="J51" s="445"/>
      <c r="K51" s="445"/>
      <c r="L51" s="445"/>
      <c r="M51" s="445"/>
      <c r="N51" s="445"/>
      <c r="O51" s="445"/>
      <c r="P51" s="445"/>
      <c r="Q51" s="445"/>
      <c r="R51" s="445"/>
      <c r="S51" s="445"/>
    </row>
    <row r="52" spans="2:19" ht="21" x14ac:dyDescent="0.35">
      <c r="B52" s="441"/>
      <c r="C52" s="442"/>
      <c r="E52" s="366"/>
      <c r="F52" s="366"/>
      <c r="G52" s="366"/>
      <c r="I52" s="445"/>
      <c r="J52" s="445"/>
      <c r="K52" s="445"/>
      <c r="L52" s="445"/>
      <c r="M52" s="445"/>
      <c r="N52" s="445"/>
      <c r="O52" s="445"/>
      <c r="P52" s="445"/>
      <c r="Q52" s="445"/>
      <c r="R52" s="445"/>
      <c r="S52" s="445"/>
    </row>
    <row r="53" spans="2:19" ht="21" x14ac:dyDescent="0.35">
      <c r="B53" s="441"/>
      <c r="C53" s="442"/>
    </row>
    <row r="54" spans="2:19" ht="21" customHeight="1" x14ac:dyDescent="0.35">
      <c r="B54" s="441"/>
      <c r="C54" s="442"/>
      <c r="F54" s="472"/>
      <c r="G54" s="473"/>
      <c r="I54" s="445" t="s">
        <v>408</v>
      </c>
      <c r="J54" s="445"/>
      <c r="K54" s="445"/>
      <c r="L54" s="445"/>
      <c r="M54" s="445"/>
      <c r="N54" s="445"/>
      <c r="O54" s="445"/>
      <c r="P54" s="445"/>
      <c r="Q54" s="445"/>
      <c r="R54" s="445"/>
      <c r="S54" s="445"/>
    </row>
    <row r="55" spans="2:19" ht="21" x14ac:dyDescent="0.35">
      <c r="B55" s="441"/>
      <c r="C55" s="442"/>
      <c r="F55" s="474"/>
      <c r="G55" s="475"/>
      <c r="I55" s="445"/>
      <c r="J55" s="445"/>
      <c r="K55" s="445"/>
      <c r="L55" s="445"/>
      <c r="M55" s="445"/>
      <c r="N55" s="445"/>
      <c r="O55" s="445"/>
      <c r="P55" s="445"/>
      <c r="Q55" s="445"/>
      <c r="R55" s="445"/>
      <c r="S55" s="445"/>
    </row>
    <row r="56" spans="2:19" ht="21" x14ac:dyDescent="0.35">
      <c r="B56" s="441"/>
      <c r="C56" s="442"/>
      <c r="F56" s="366"/>
      <c r="G56" s="366"/>
      <c r="I56" s="445"/>
      <c r="J56" s="445"/>
      <c r="K56" s="445"/>
      <c r="L56" s="445"/>
      <c r="M56" s="445"/>
      <c r="N56" s="445"/>
      <c r="O56" s="445"/>
      <c r="P56" s="445"/>
      <c r="Q56" s="445"/>
      <c r="R56" s="445"/>
      <c r="S56" s="445"/>
    </row>
    <row r="57" spans="2:19" ht="21" x14ac:dyDescent="0.35">
      <c r="B57" s="441"/>
      <c r="C57" s="442"/>
    </row>
    <row r="58" spans="2:19" ht="21" customHeight="1" x14ac:dyDescent="0.35">
      <c r="B58" s="441"/>
      <c r="C58" s="442"/>
      <c r="E58" s="476" t="s">
        <v>409</v>
      </c>
      <c r="F58" s="477"/>
      <c r="G58" s="478"/>
      <c r="I58" s="445" t="s">
        <v>410</v>
      </c>
      <c r="J58" s="445"/>
      <c r="K58" s="445"/>
      <c r="L58" s="445"/>
      <c r="M58" s="445"/>
      <c r="N58" s="445"/>
      <c r="O58" s="445"/>
      <c r="P58" s="445"/>
      <c r="Q58" s="445"/>
      <c r="R58" s="445"/>
      <c r="S58" s="445"/>
    </row>
    <row r="59" spans="2:19" ht="21" x14ac:dyDescent="0.35">
      <c r="B59" s="441"/>
      <c r="C59" s="442"/>
      <c r="E59" s="479"/>
      <c r="F59" s="480"/>
      <c r="G59" s="481"/>
      <c r="I59" s="445"/>
      <c r="J59" s="445"/>
      <c r="K59" s="445"/>
      <c r="L59" s="445"/>
      <c r="M59" s="445"/>
      <c r="N59" s="445"/>
      <c r="O59" s="445"/>
      <c r="P59" s="445"/>
      <c r="Q59" s="445"/>
      <c r="R59" s="445"/>
      <c r="S59" s="445"/>
    </row>
    <row r="60" spans="2:19" ht="21" x14ac:dyDescent="0.35">
      <c r="B60" s="441"/>
      <c r="C60" s="442"/>
      <c r="E60" s="357"/>
      <c r="F60" s="357"/>
      <c r="G60" s="357"/>
    </row>
    <row r="61" spans="2:19" ht="21" customHeight="1" x14ac:dyDescent="0.35">
      <c r="B61" s="441"/>
      <c r="C61" s="442"/>
      <c r="E61" s="454" t="s">
        <v>405</v>
      </c>
      <c r="F61" s="455"/>
      <c r="G61" s="456"/>
      <c r="I61" s="445" t="s">
        <v>411</v>
      </c>
      <c r="J61" s="445"/>
      <c r="K61" s="445"/>
      <c r="L61" s="445"/>
      <c r="M61" s="445"/>
      <c r="N61" s="445"/>
      <c r="O61" s="445"/>
      <c r="P61" s="445"/>
      <c r="Q61" s="445"/>
      <c r="R61" s="445"/>
      <c r="S61" s="445"/>
    </row>
    <row r="62" spans="2:19" ht="21" x14ac:dyDescent="0.35">
      <c r="B62" s="441"/>
      <c r="C62" s="442"/>
      <c r="E62" s="457"/>
      <c r="F62" s="458"/>
      <c r="G62" s="459"/>
      <c r="I62" s="445"/>
      <c r="J62" s="445"/>
      <c r="K62" s="445"/>
      <c r="L62" s="445"/>
      <c r="M62" s="445"/>
      <c r="N62" s="445"/>
      <c r="O62" s="445"/>
      <c r="P62" s="445"/>
      <c r="Q62" s="445"/>
      <c r="R62" s="445"/>
      <c r="S62" s="445"/>
    </row>
    <row r="63" spans="2:19" ht="21" x14ac:dyDescent="0.35">
      <c r="B63" s="441"/>
      <c r="C63" s="442"/>
      <c r="E63" s="357"/>
      <c r="F63" s="357"/>
      <c r="G63" s="357"/>
    </row>
    <row r="64" spans="2:19" ht="21" x14ac:dyDescent="0.35">
      <c r="B64" s="441"/>
      <c r="C64" s="442"/>
      <c r="E64" s="460" t="s">
        <v>405</v>
      </c>
      <c r="F64" s="461"/>
      <c r="G64" s="462"/>
      <c r="I64" s="367" t="s">
        <v>568</v>
      </c>
    </row>
    <row r="65" spans="2:9" ht="21" x14ac:dyDescent="0.35">
      <c r="B65" s="443"/>
      <c r="C65" s="444"/>
      <c r="E65" s="463"/>
      <c r="F65" s="464"/>
      <c r="G65" s="465"/>
      <c r="I65" s="3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805464DE-1634-4672-B68C-6E2742F7E355}"/>
    <hyperlink ref="B7:C17" r:id="rId2" display="https://www.vs.ch/web/energie/exigences-énergétiques-pour-les-bâtiments" xr:uid="{109A35FB-79B7-4D73-BE51-55319BEE0D43}"/>
    <hyperlink ref="P5" r:id="rId3" xr:uid="{BBF033AD-EEBF-4335-AC87-8715FB96257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5841"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35842"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35843"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dimension ref="A1:FXW212"/>
  <sheetViews>
    <sheetView zoomScale="130" zoomScaleNormal="130"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6" width="6.5" style="15" customWidth="1"/>
    <col min="7" max="7" width="8.1640625" style="15" customWidth="1"/>
    <col min="8" max="8" width="3.6640625" style="15" customWidth="1"/>
    <col min="9" max="9" width="5.1640625" style="15" customWidth="1"/>
    <col min="10" max="12" width="3.6640625" style="15" customWidth="1"/>
    <col min="13" max="13" width="8" style="15" customWidth="1"/>
    <col min="14" max="14" width="5.33203125" style="15" customWidth="1"/>
    <col min="15" max="21" width="3.83203125" style="15" customWidth="1"/>
    <col min="22" max="26" width="4" style="15" customWidth="1"/>
    <col min="27" max="27" width="5.33203125" style="15" customWidth="1"/>
    <col min="28" max="28" width="3.33203125" style="15" customWidth="1"/>
    <col min="29" max="29" width="4.33203125" style="15" customWidth="1"/>
    <col min="30" max="30" width="3.33203125" style="15" customWidth="1"/>
    <col min="31" max="31" width="12.33203125" style="15" customWidth="1"/>
    <col min="32" max="33" width="4.33203125" style="15" customWidth="1"/>
    <col min="34" max="34" width="3.33203125" style="15" customWidth="1"/>
    <col min="35" max="35" width="2.33203125" style="28" customWidth="1"/>
    <col min="36" max="36" width="13.1640625" style="15" hidden="1" customWidth="1"/>
    <col min="37" max="37" width="16" style="208" hidden="1" customWidth="1"/>
    <col min="38" max="38" width="9" style="208" hidden="1" customWidth="1"/>
    <col min="39" max="39" width="17.1640625" style="208" hidden="1" customWidth="1"/>
    <col min="40" max="40" width="11.33203125" style="208" hidden="1" customWidth="1"/>
    <col min="41" max="41" width="47.6640625" style="208" hidden="1" customWidth="1"/>
    <col min="42" max="42" width="13.33203125" style="208" hidden="1" customWidth="1"/>
    <col min="43" max="43" width="15" style="208" hidden="1" customWidth="1"/>
    <col min="44" max="44" width="14.6640625" style="208" hidden="1" customWidth="1"/>
    <col min="45" max="46" width="9.33203125" style="208" hidden="1" customWidth="1"/>
    <col min="47" max="47" width="13.83203125" style="208" hidden="1" customWidth="1"/>
    <col min="48" max="48" width="5.6640625" style="208" hidden="1" customWidth="1"/>
    <col min="49" max="50" width="28.1640625" style="208" hidden="1" customWidth="1"/>
    <col min="51" max="51" width="10.1640625" style="208" hidden="1" customWidth="1"/>
    <col min="52" max="52" width="7.5" style="208" hidden="1" customWidth="1"/>
    <col min="53" max="53" width="9.6640625" style="208" hidden="1" customWidth="1"/>
    <col min="54" max="54" width="8.1640625" style="208" hidden="1" customWidth="1"/>
    <col min="55" max="55" width="21.6640625" style="208" hidden="1" customWidth="1"/>
    <col min="56" max="56" width="5.83203125" style="208" hidden="1" customWidth="1"/>
    <col min="57" max="57" width="10.83203125" style="208" hidden="1" customWidth="1"/>
    <col min="58" max="58" width="11.5" style="208" hidden="1" customWidth="1"/>
    <col min="59" max="59" width="8.1640625" style="208" hidden="1" customWidth="1"/>
    <col min="60" max="69" width="2.83203125" style="208" hidden="1" customWidth="1"/>
    <col min="70" max="1456" width="2.83203125" style="209" hidden="1" customWidth="1"/>
    <col min="1457" max="4701" width="15.83203125" style="209" hidden="1" customWidth="1"/>
    <col min="4702" max="4703" width="0.33203125" style="209" hidden="1" customWidth="1"/>
    <col min="4704" max="16384" width="15.83203125" style="209" hidden="1"/>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K1" s="150"/>
    </row>
    <row r="2" spans="2:37" ht="16.5" customHeight="1" x14ac:dyDescent="0.2">
      <c r="B2" s="620"/>
      <c r="C2" s="621"/>
      <c r="D2" s="621"/>
      <c r="E2" s="621"/>
      <c r="F2" s="622"/>
      <c r="G2" s="629" t="s">
        <v>412</v>
      </c>
      <c r="H2" s="630"/>
      <c r="I2" s="630"/>
      <c r="J2" s="630"/>
      <c r="K2" s="630"/>
      <c r="L2" s="630"/>
      <c r="M2" s="630"/>
      <c r="N2" s="630"/>
      <c r="O2" s="631"/>
      <c r="P2" s="638" t="s">
        <v>76</v>
      </c>
      <c r="Q2" s="639"/>
      <c r="R2" s="639"/>
      <c r="S2" s="639"/>
      <c r="T2" s="639"/>
      <c r="U2" s="639"/>
      <c r="V2" s="639"/>
      <c r="W2" s="639"/>
      <c r="X2" s="639"/>
      <c r="Y2" s="640"/>
      <c r="Z2" s="647" t="s">
        <v>501</v>
      </c>
      <c r="AA2" s="648"/>
      <c r="AB2" s="648"/>
      <c r="AC2" s="648"/>
      <c r="AD2" s="648"/>
      <c r="AE2" s="648"/>
      <c r="AF2" s="648"/>
      <c r="AG2" s="648"/>
      <c r="AH2" s="649"/>
      <c r="AK2" s="150"/>
    </row>
    <row r="3" spans="2:37"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c r="AK3" s="150"/>
    </row>
    <row r="4" spans="2:37"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c r="AK4" s="150"/>
    </row>
    <row r="5" spans="2:37"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c r="AK5" s="150"/>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50"/>
    </row>
    <row r="7" spans="2:37" ht="16.350000000000001" customHeight="1" x14ac:dyDescent="0.2">
      <c r="B7" s="558" t="s">
        <v>413</v>
      </c>
      <c r="C7" s="558"/>
      <c r="D7" s="558"/>
      <c r="E7" s="656"/>
      <c r="F7" s="612"/>
      <c r="G7" s="613"/>
      <c r="H7" s="613"/>
      <c r="I7" s="613"/>
      <c r="J7" s="613"/>
      <c r="K7" s="613"/>
      <c r="L7" s="613"/>
      <c r="M7" s="613"/>
      <c r="N7" s="613"/>
      <c r="O7" s="613"/>
      <c r="P7" s="614"/>
      <c r="Q7" s="657" t="s">
        <v>414</v>
      </c>
      <c r="R7" s="493"/>
      <c r="S7" s="493"/>
      <c r="T7" s="658"/>
      <c r="U7" s="659"/>
      <c r="V7" s="660"/>
      <c r="W7" s="660"/>
      <c r="X7" s="660"/>
      <c r="Y7" s="660"/>
      <c r="Z7" s="661"/>
      <c r="AA7" s="28"/>
      <c r="AB7" s="28"/>
      <c r="AC7" s="19"/>
      <c r="AD7" s="43" t="s">
        <v>111</v>
      </c>
      <c r="AE7" s="659"/>
      <c r="AF7" s="660"/>
      <c r="AG7" s="660"/>
      <c r="AH7" s="661"/>
      <c r="AK7" s="150"/>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50"/>
    </row>
    <row r="9" spans="2:37" ht="16.5" customHeight="1" x14ac:dyDescent="0.2">
      <c r="B9" s="19" t="s">
        <v>415</v>
      </c>
      <c r="C9" s="19"/>
      <c r="D9" s="19"/>
      <c r="E9" s="28"/>
      <c r="F9" s="612"/>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4"/>
      <c r="AK9" s="150"/>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50"/>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K11" s="150"/>
    </row>
    <row r="12" spans="2:37" ht="16.5" customHeight="1" x14ac:dyDescent="0.2">
      <c r="B12" s="75" t="s">
        <v>416</v>
      </c>
      <c r="C12" s="28"/>
      <c r="D12" s="28"/>
      <c r="E12" s="28"/>
      <c r="F12" s="28"/>
      <c r="G12" s="28"/>
      <c r="H12" s="28"/>
      <c r="I12" s="28"/>
      <c r="J12" s="28"/>
      <c r="K12" s="28"/>
      <c r="L12" s="68"/>
      <c r="M12" s="68"/>
      <c r="N12" s="140"/>
      <c r="O12" s="140"/>
      <c r="P12" s="140"/>
      <c r="Q12" s="140"/>
      <c r="R12" s="140"/>
      <c r="S12" s="76"/>
      <c r="T12" s="76"/>
      <c r="U12" s="76"/>
      <c r="V12" s="28"/>
      <c r="W12" s="28"/>
      <c r="X12" s="28"/>
      <c r="Y12" s="28"/>
      <c r="Z12" s="28"/>
      <c r="AA12" s="28"/>
      <c r="AB12" s="28"/>
      <c r="AC12" s="28"/>
      <c r="AD12" s="78"/>
      <c r="AE12" s="78"/>
      <c r="AF12" s="78"/>
      <c r="AG12" s="78"/>
      <c r="AH12" s="177" t="str">
        <f>IF(AK12=1,"Begründung im Anhang anzugeben","")</f>
        <v/>
      </c>
      <c r="AK12" s="208">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417</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1:43" ht="15.75" customHeight="1" x14ac:dyDescent="0.2">
      <c r="B17" s="28"/>
      <c r="D17" s="28" t="s">
        <v>418</v>
      </c>
      <c r="F17" s="28"/>
      <c r="G17" s="28"/>
      <c r="H17" s="28"/>
      <c r="I17" s="28"/>
      <c r="J17" s="28"/>
      <c r="K17" s="28"/>
      <c r="L17" s="28"/>
      <c r="M17" s="28"/>
      <c r="N17" s="28"/>
      <c r="O17" s="76"/>
      <c r="P17" s="19" t="s">
        <v>419</v>
      </c>
      <c r="Q17" s="28"/>
      <c r="R17" s="346"/>
      <c r="S17" s="346"/>
      <c r="T17" s="346"/>
      <c r="U17" s="346"/>
      <c r="V17" s="346"/>
      <c r="W17" s="346"/>
      <c r="X17" s="346"/>
      <c r="Y17" s="346"/>
      <c r="Z17" s="28"/>
      <c r="AA17" s="28" t="s">
        <v>421</v>
      </c>
      <c r="AB17" s="28"/>
      <c r="AC17" s="28"/>
      <c r="AD17" s="28"/>
      <c r="AE17" s="28"/>
      <c r="AF17" s="28"/>
      <c r="AG17" s="28"/>
      <c r="AH17" s="28"/>
      <c r="AK17" s="208" t="b">
        <v>1</v>
      </c>
      <c r="AL17" s="208" t="b">
        <v>0</v>
      </c>
      <c r="AM17" s="208" t="b">
        <v>0</v>
      </c>
    </row>
    <row r="18" spans="1:43" ht="12.75" x14ac:dyDescent="0.2">
      <c r="B18" s="28"/>
      <c r="C18" s="28"/>
      <c r="D18" s="28"/>
      <c r="E18" s="28"/>
      <c r="F18" s="28"/>
      <c r="G18" s="28"/>
      <c r="H18" s="28"/>
      <c r="I18" s="28"/>
      <c r="J18" s="28"/>
      <c r="K18" s="28"/>
      <c r="L18" s="28"/>
      <c r="M18" s="28"/>
      <c r="N18" s="28"/>
      <c r="O18" s="28"/>
      <c r="P18" s="19" t="s">
        <v>420</v>
      </c>
      <c r="Q18" s="28"/>
      <c r="R18" s="346"/>
      <c r="S18" s="346"/>
      <c r="T18" s="346"/>
      <c r="U18" s="346"/>
      <c r="V18" s="346"/>
      <c r="W18" s="346"/>
      <c r="X18" s="346"/>
      <c r="Y18" s="346"/>
      <c r="Z18" s="28"/>
      <c r="AA18" s="28" t="s">
        <v>578</v>
      </c>
      <c r="AB18" s="28"/>
      <c r="AC18" s="28"/>
      <c r="AD18" s="28"/>
      <c r="AE18" s="28"/>
      <c r="AF18" s="28"/>
      <c r="AG18" s="28"/>
      <c r="AH18" s="28"/>
    </row>
    <row r="19" spans="1:43" ht="15.75" customHeight="1" x14ac:dyDescent="0.2">
      <c r="B19" s="28"/>
      <c r="D19" s="77" t="s">
        <v>422</v>
      </c>
      <c r="E19" s="28"/>
      <c r="F19" s="28"/>
      <c r="G19" s="28"/>
      <c r="H19" s="28"/>
      <c r="I19" s="28"/>
      <c r="J19" s="28"/>
      <c r="K19" s="28"/>
      <c r="L19" s="28"/>
      <c r="M19" s="28"/>
      <c r="N19" s="28"/>
      <c r="O19" s="28"/>
      <c r="P19" s="28"/>
      <c r="Q19" s="77"/>
      <c r="R19" s="28"/>
      <c r="S19" s="28"/>
      <c r="T19" s="28"/>
      <c r="U19" s="28"/>
      <c r="V19" s="28"/>
      <c r="W19" s="28"/>
      <c r="X19" s="28"/>
      <c r="Y19" s="27"/>
      <c r="Z19" s="28"/>
      <c r="AA19" s="28"/>
      <c r="AB19" s="28"/>
      <c r="AC19" s="28"/>
      <c r="AD19" s="28"/>
      <c r="AE19" s="28"/>
      <c r="AF19" s="28"/>
      <c r="AG19" s="28"/>
      <c r="AH19" s="28"/>
      <c r="AK19" s="208" t="b">
        <v>0</v>
      </c>
    </row>
    <row r="20" spans="1:43" ht="17.25" customHeight="1" x14ac:dyDescent="0.2">
      <c r="B20" s="28"/>
      <c r="C20" s="28"/>
      <c r="D20" s="28" t="s">
        <v>423</v>
      </c>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row>
    <row r="21" spans="1:43"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1:43" ht="20.25" customHeight="1" x14ac:dyDescent="0.2">
      <c r="B22" s="28"/>
      <c r="C22" s="77" t="s">
        <v>424</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K22" s="208">
        <v>0</v>
      </c>
    </row>
    <row r="23" spans="1:43" ht="15.75" customHeight="1" x14ac:dyDescent="0.2">
      <c r="B23" s="28"/>
      <c r="C23" s="77" t="s">
        <v>530</v>
      </c>
      <c r="D23" s="28"/>
      <c r="E23" s="28"/>
      <c r="F23" s="747"/>
      <c r="G23" s="747"/>
      <c r="H23" s="28" t="s">
        <v>190</v>
      </c>
      <c r="I23" s="28"/>
      <c r="J23" s="28" t="s">
        <v>425</v>
      </c>
      <c r="K23" s="28"/>
      <c r="L23" s="28"/>
      <c r="M23" s="28"/>
      <c r="N23" s="144"/>
      <c r="O23" s="144" t="str">
        <f>IF(F23&gt;1000,"Montana","Sion")</f>
        <v>Sion</v>
      </c>
      <c r="P23" s="144"/>
      <c r="Q23" s="144"/>
      <c r="R23" s="28"/>
      <c r="S23" s="610" t="str">
        <f>IF((AK22=2),"EN-VS-133 anzugeben und begründung des Bedarfs anhand der eingereichten Projektelement","")</f>
        <v/>
      </c>
      <c r="T23" s="610"/>
      <c r="U23" s="610"/>
      <c r="V23" s="610"/>
      <c r="W23" s="610"/>
      <c r="X23" s="610"/>
      <c r="Y23" s="610"/>
      <c r="Z23" s="610"/>
      <c r="AA23" s="610"/>
      <c r="AB23" s="610"/>
      <c r="AC23" s="610"/>
      <c r="AD23" s="610"/>
      <c r="AE23" s="610"/>
      <c r="AF23" s="610"/>
      <c r="AG23" s="610"/>
      <c r="AH23" s="610"/>
    </row>
    <row r="24" spans="1:43" ht="14.25" customHeight="1" thickBot="1" x14ac:dyDescent="0.25">
      <c r="B24" s="14"/>
      <c r="C24" s="14"/>
      <c r="D24" s="14"/>
      <c r="E24" s="14"/>
      <c r="F24" s="14"/>
      <c r="G24" s="14"/>
      <c r="H24" s="14"/>
      <c r="I24" s="14"/>
      <c r="J24" s="14"/>
      <c r="K24" s="14"/>
      <c r="L24" s="14"/>
      <c r="M24" s="14"/>
      <c r="N24" s="14"/>
      <c r="O24" s="14"/>
      <c r="P24" s="14"/>
      <c r="Q24" s="14"/>
      <c r="R24" s="14"/>
      <c r="S24" s="611"/>
      <c r="T24" s="611"/>
      <c r="U24" s="611"/>
      <c r="V24" s="611"/>
      <c r="W24" s="611"/>
      <c r="X24" s="611"/>
      <c r="Y24" s="611"/>
      <c r="Z24" s="611"/>
      <c r="AA24" s="611"/>
      <c r="AB24" s="611"/>
      <c r="AC24" s="611"/>
      <c r="AD24" s="611"/>
      <c r="AE24" s="611"/>
      <c r="AF24" s="611"/>
      <c r="AG24" s="611"/>
      <c r="AH24" s="611"/>
    </row>
    <row r="25" spans="1:43"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1:43" ht="15.75" customHeight="1" x14ac:dyDescent="0.2">
      <c r="B26" s="18" t="s">
        <v>135</v>
      </c>
      <c r="C26" s="18"/>
      <c r="D26" s="18" t="s">
        <v>426</v>
      </c>
      <c r="E26" s="18"/>
      <c r="F26" s="34"/>
      <c r="G26" s="34"/>
      <c r="H26" s="34"/>
      <c r="I26" s="34"/>
      <c r="J26" s="34"/>
      <c r="K26" s="34"/>
      <c r="L26" s="34"/>
      <c r="M26" s="34"/>
      <c r="N26" s="34"/>
      <c r="O26" s="34"/>
      <c r="P26" s="34"/>
      <c r="Q26" s="34"/>
      <c r="R26" s="179"/>
      <c r="S26" s="34"/>
      <c r="T26" s="34"/>
      <c r="U26" s="34"/>
      <c r="V26" s="34"/>
      <c r="W26" s="34"/>
      <c r="X26" s="34"/>
      <c r="Y26" s="233" t="str">
        <f>IF(AND(H29=0,Q29=0),"",IF(AK31=TRUE,"Keine Eigenstromerzeugung erforderlich",IF(AP31=1,"Eigenstromerzeugung erforderlich",IF(AP30=0,"Keine Eigenstromerzeugung erforderlich",IF(AND(AP29=1,AP34=1),"Keine Eigenstromerzeugung erforderlich","Eigenstromerzeugung erforderlich")))))</f>
        <v/>
      </c>
      <c r="Z26" s="34"/>
      <c r="AB26" s="34"/>
      <c r="AC26" s="28"/>
      <c r="AD26" s="28"/>
      <c r="AE26" s="73"/>
      <c r="AF26" s="73"/>
      <c r="AG26" s="73"/>
    </row>
    <row r="27" spans="1:43" ht="15.75" customHeight="1" thickBot="1" x14ac:dyDescent="0.25">
      <c r="B27" s="127" t="s">
        <v>596</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K27" s="208" t="s">
        <v>464</v>
      </c>
      <c r="AO27" s="210"/>
      <c r="AP27" s="208" t="str">
        <f>IF(AP31=1,"Projet soumis",IF(AP30=0,"projet exempté",IF(AND(AP29=1,AP34=1),"Projet exempté","Projet soumis")))</f>
        <v>projet exempté</v>
      </c>
    </row>
    <row r="28" spans="1:43"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J28" s="258"/>
    </row>
    <row r="29" spans="1:43" ht="15.75" customHeight="1" x14ac:dyDescent="0.2">
      <c r="A29" s="19"/>
      <c r="B29" s="19"/>
      <c r="C29" s="19"/>
      <c r="D29" s="19"/>
      <c r="E29" s="19"/>
      <c r="F29" s="19"/>
      <c r="G29" s="43" t="s">
        <v>710</v>
      </c>
      <c r="H29" s="607"/>
      <c r="I29" s="607"/>
      <c r="J29" s="607"/>
      <c r="K29" s="144" t="s">
        <v>112</v>
      </c>
      <c r="L29" s="27"/>
      <c r="M29" s="28"/>
      <c r="N29" s="28"/>
      <c r="O29" s="28"/>
      <c r="P29" s="43" t="s">
        <v>709</v>
      </c>
      <c r="Q29" s="607"/>
      <c r="R29" s="607"/>
      <c r="S29" s="607"/>
      <c r="T29" s="482" t="s">
        <v>112</v>
      </c>
      <c r="U29" s="482"/>
      <c r="V29" s="28" t="s">
        <v>428</v>
      </c>
      <c r="W29" s="28"/>
      <c r="X29" s="608" t="str">
        <f>IF(Q29=0,"-", IF(AK29&gt;20,"&gt;20","&lt;20"))</f>
        <v>-</v>
      </c>
      <c r="Y29" s="608"/>
      <c r="Z29" s="27" t="s">
        <v>39</v>
      </c>
      <c r="AA29" s="27"/>
      <c r="AB29" s="28"/>
      <c r="AD29" s="43" t="s">
        <v>708</v>
      </c>
      <c r="AE29" s="438" t="str">
        <f>IF(H29+Q29=0,"",H29+Q29)</f>
        <v/>
      </c>
      <c r="AF29" s="482" t="s">
        <v>112</v>
      </c>
      <c r="AG29" s="482"/>
      <c r="AI29" s="18"/>
      <c r="AJ29" s="259"/>
      <c r="AK29" s="211">
        <f>IF(Q29=0,100,H29/Q29*100)</f>
        <v>100</v>
      </c>
      <c r="AL29" s="208" t="s">
        <v>121</v>
      </c>
      <c r="AP29" s="208">
        <f>IF(H29&lt;1000,1,0)</f>
        <v>1</v>
      </c>
      <c r="AQ29" s="208" t="s">
        <v>116</v>
      </c>
    </row>
    <row r="30" spans="1:43" ht="7.5" customHeight="1" x14ac:dyDescent="0.2">
      <c r="A30" s="19"/>
      <c r="B30" s="19"/>
      <c r="C30" s="19"/>
      <c r="D30" s="19"/>
      <c r="E30" s="19"/>
      <c r="F30" s="19"/>
      <c r="G30" s="19"/>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J30" s="259"/>
      <c r="AP30" s="208">
        <f>IF(H29&gt;=50,1,0)</f>
        <v>0</v>
      </c>
      <c r="AQ30" s="208" t="s">
        <v>117</v>
      </c>
    </row>
    <row r="31" spans="1:43" ht="15.75" customHeight="1" x14ac:dyDescent="0.2">
      <c r="B31" s="28"/>
      <c r="C31" s="26"/>
      <c r="D31" s="26"/>
      <c r="E31" s="28" t="s">
        <v>572</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K31" s="208" t="b">
        <v>0</v>
      </c>
      <c r="AP31" s="208">
        <f>IF(AND(H29&lt;&gt;0,Q29=0),1,0)</f>
        <v>0</v>
      </c>
      <c r="AQ31" s="208" t="s">
        <v>118</v>
      </c>
    </row>
    <row r="32" spans="1:43" s="208" customFormat="1" ht="15.75" customHeight="1" x14ac:dyDescent="0.2">
      <c r="A32" s="62"/>
      <c r="B32" s="28"/>
      <c r="C32" s="26"/>
      <c r="D32" s="26"/>
      <c r="E32" s="28" t="s">
        <v>429</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28"/>
      <c r="AJ32" s="15"/>
      <c r="AP32" s="208">
        <f>IF(Q29=0,100, H29/Q29*100)</f>
        <v>100</v>
      </c>
      <c r="AQ32" s="208" t="s">
        <v>119</v>
      </c>
    </row>
    <row r="33" spans="1:43" s="208" customFormat="1" ht="15.75" customHeight="1" x14ac:dyDescent="0.2">
      <c r="A33" s="62"/>
      <c r="B33" s="28"/>
      <c r="C33" s="26"/>
      <c r="D33" s="26"/>
      <c r="E33" s="28"/>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28"/>
      <c r="AJ33" s="15"/>
    </row>
    <row r="34" spans="1:43" s="208" customFormat="1" ht="15.75" customHeight="1" x14ac:dyDescent="0.2">
      <c r="A34" s="62"/>
      <c r="B34" s="18"/>
      <c r="C34" s="36"/>
      <c r="D34" s="18"/>
      <c r="E34" s="610" t="str">
        <f>IF(AK31=TRUE,"Minergie-Label und Nachweis der bestehenden Solaranlage (z.B. Fotos), oder Minergie A/P/Areal-Label oder GEAK A/A-Zertifikat mit Berechnungsunterlagen einreichen","")</f>
        <v/>
      </c>
      <c r="F34" s="610"/>
      <c r="G34" s="610"/>
      <c r="H34" s="610"/>
      <c r="I34" s="610"/>
      <c r="J34" s="610"/>
      <c r="K34" s="610"/>
      <c r="L34" s="610"/>
      <c r="M34" s="610"/>
      <c r="N34" s="297"/>
      <c r="O34" s="297"/>
      <c r="P34" s="297"/>
      <c r="Q34" s="297"/>
      <c r="R34" s="182"/>
      <c r="S34" s="15"/>
      <c r="T34" s="18"/>
      <c r="U34" s="30"/>
      <c r="V34" s="18"/>
      <c r="W34" s="18"/>
      <c r="X34" s="18"/>
      <c r="Y34" s="18"/>
      <c r="Z34" s="18"/>
      <c r="AA34" s="99"/>
      <c r="AB34" s="22" t="s">
        <v>430</v>
      </c>
      <c r="AC34" s="617">
        <f>IF(AK34&gt;30,30,AK34)</f>
        <v>0</v>
      </c>
      <c r="AD34" s="617"/>
      <c r="AE34" s="617"/>
      <c r="AF34" s="496" t="s">
        <v>328</v>
      </c>
      <c r="AG34" s="496"/>
      <c r="AH34" s="74"/>
      <c r="AI34" s="28"/>
      <c r="AJ34" s="15"/>
      <c r="AK34" s="212">
        <f>IF(Y26="Keine Eigenstromerzeugung erforderlich",0,20*H29/1000)</f>
        <v>0</v>
      </c>
      <c r="AL34" s="208" t="s">
        <v>465</v>
      </c>
      <c r="AP34" s="208">
        <f>IF(AP32&gt;=20,0,1)</f>
        <v>0</v>
      </c>
      <c r="AQ34" s="208" t="s">
        <v>120</v>
      </c>
    </row>
    <row r="35" spans="1:43" s="208" customFormat="1" ht="15.75" customHeight="1" x14ac:dyDescent="0.2">
      <c r="A35" s="62"/>
      <c r="B35" s="18"/>
      <c r="C35" s="36"/>
      <c r="D35" s="18"/>
      <c r="E35" s="610"/>
      <c r="F35" s="610"/>
      <c r="G35" s="610"/>
      <c r="H35" s="610"/>
      <c r="I35" s="610"/>
      <c r="J35" s="610"/>
      <c r="K35" s="610"/>
      <c r="L35" s="610"/>
      <c r="M35" s="610"/>
      <c r="N35" s="297"/>
      <c r="O35" s="297"/>
      <c r="P35" s="297"/>
      <c r="Q35" s="297"/>
      <c r="R35" s="183"/>
      <c r="S35" s="28"/>
      <c r="T35" s="18"/>
      <c r="U35" s="30"/>
      <c r="V35" s="18"/>
      <c r="W35" s="18"/>
      <c r="X35" s="18"/>
      <c r="Y35" s="82"/>
      <c r="Z35" s="82"/>
      <c r="AA35" s="129"/>
      <c r="AB35" s="28"/>
      <c r="AC35" s="618"/>
      <c r="AD35" s="618"/>
      <c r="AE35" s="618"/>
      <c r="AF35" s="619"/>
      <c r="AG35" s="619"/>
      <c r="AH35" s="83"/>
      <c r="AI35" s="28"/>
      <c r="AJ35" s="15"/>
      <c r="AK35" s="212"/>
    </row>
    <row r="36" spans="1:43" s="208" customFormat="1" ht="28.5" customHeight="1" thickBot="1" x14ac:dyDescent="0.25">
      <c r="A36" s="62"/>
      <c r="B36" s="14"/>
      <c r="C36" s="14"/>
      <c r="D36" s="14"/>
      <c r="E36" s="611"/>
      <c r="F36" s="611"/>
      <c r="G36" s="611"/>
      <c r="H36" s="611"/>
      <c r="I36" s="611"/>
      <c r="J36" s="611"/>
      <c r="K36" s="611"/>
      <c r="L36" s="611"/>
      <c r="M36" s="611"/>
      <c r="N36" s="14"/>
      <c r="O36" s="14"/>
      <c r="P36" s="14"/>
      <c r="Q36" s="14"/>
      <c r="R36" s="14"/>
      <c r="S36" s="14"/>
      <c r="T36" s="14"/>
      <c r="U36" s="14"/>
      <c r="V36" s="14"/>
      <c r="W36" s="14"/>
      <c r="X36" s="14"/>
      <c r="Y36" s="14"/>
      <c r="Z36" s="14"/>
      <c r="AA36" s="14"/>
      <c r="AB36" s="14"/>
      <c r="AC36" s="50">
        <f>IF(C34="Befreites Projekt gemäss Art.33 kEnG",0,20*L29/1000)</f>
        <v>0</v>
      </c>
      <c r="AD36" s="14"/>
      <c r="AE36" s="14"/>
      <c r="AF36" s="14"/>
      <c r="AG36" s="14"/>
      <c r="AH36" s="14"/>
      <c r="AI36" s="28"/>
      <c r="AJ36" s="15"/>
    </row>
    <row r="37" spans="1:43" s="208" customFormat="1" ht="8.1" customHeight="1" x14ac:dyDescent="0.2">
      <c r="A37" s="62"/>
      <c r="B37" s="126"/>
      <c r="C37" s="126"/>
      <c r="D37" s="126"/>
      <c r="E37" s="126"/>
      <c r="F37" s="126"/>
      <c r="G37" s="126"/>
      <c r="H37" s="126"/>
      <c r="I37" s="126"/>
      <c r="J37" s="126"/>
      <c r="K37" s="126"/>
      <c r="L37" s="126"/>
      <c r="M37" s="126"/>
      <c r="N37" s="126"/>
      <c r="O37" s="126"/>
      <c r="P37" s="126"/>
      <c r="Q37" s="126"/>
      <c r="R37" s="126"/>
      <c r="S37" s="178"/>
      <c r="T37" s="28"/>
      <c r="U37" s="28"/>
      <c r="V37" s="28"/>
      <c r="W37" s="28"/>
      <c r="X37" s="28"/>
      <c r="Y37" s="28"/>
      <c r="Z37" s="28"/>
      <c r="AA37" s="28"/>
      <c r="AB37" s="28"/>
      <c r="AC37" s="28"/>
      <c r="AD37" s="28"/>
      <c r="AE37" s="28"/>
      <c r="AF37" s="28"/>
      <c r="AG37" s="28"/>
      <c r="AH37" s="28"/>
      <c r="AI37" s="28"/>
      <c r="AJ37" s="15"/>
    </row>
    <row r="38" spans="1:43" s="208" customFormat="1" ht="18" customHeight="1" x14ac:dyDescent="0.2">
      <c r="A38" s="62"/>
      <c r="B38" s="18" t="s">
        <v>137</v>
      </c>
      <c r="C38" s="198"/>
      <c r="D38" s="18" t="s">
        <v>431</v>
      </c>
      <c r="E38" s="198"/>
      <c r="F38" s="198"/>
      <c r="G38" s="198"/>
      <c r="H38" s="198"/>
      <c r="I38" s="198"/>
      <c r="J38" s="198"/>
      <c r="K38" s="198"/>
      <c r="L38" s="198"/>
      <c r="M38" s="28"/>
      <c r="N38" s="198"/>
      <c r="O38" s="198"/>
      <c r="P38" s="198"/>
      <c r="Q38" s="28"/>
      <c r="R38" s="28"/>
      <c r="S38" s="193"/>
      <c r="T38" s="28"/>
      <c r="U38" s="28"/>
      <c r="V38" s="28"/>
      <c r="W38" s="28"/>
      <c r="X38" s="28"/>
      <c r="Y38" s="184" t="str">
        <f>IF(OR(AK44=TRUE,AK45=TRUE,AK46=TRUE,AK47=TRUE),"Keine Eigenstromerzeugung erforderlich","Eigenstromerzeugung erforderlich")</f>
        <v>Eigenstromerzeugung erforderlich</v>
      </c>
      <c r="Z38" s="350"/>
      <c r="AA38" s="350"/>
      <c r="AB38" s="350"/>
      <c r="AC38" s="350"/>
      <c r="AD38" s="350"/>
      <c r="AE38" s="350"/>
      <c r="AF38" s="350"/>
      <c r="AG38" s="350"/>
      <c r="AH38" s="350"/>
      <c r="AI38" s="28"/>
      <c r="AJ38" s="15"/>
      <c r="AK38" s="208" t="str">
        <f>IF(Y38="Keine Eigenstromerzeugung erforderlich",0,"")</f>
        <v/>
      </c>
    </row>
    <row r="39" spans="1:43" s="208" customFormat="1" ht="15.75" customHeight="1" thickBot="1" x14ac:dyDescent="0.25">
      <c r="A39" s="62"/>
      <c r="B39" s="130" t="s">
        <v>597</v>
      </c>
      <c r="C39" s="131"/>
      <c r="D39" s="131"/>
      <c r="E39" s="131"/>
      <c r="F39" s="131"/>
      <c r="G39" s="131"/>
      <c r="H39" s="131"/>
      <c r="I39" s="131"/>
      <c r="J39" s="131"/>
      <c r="K39" s="131"/>
      <c r="L39" s="131"/>
      <c r="M39" s="131"/>
      <c r="N39" s="131"/>
      <c r="O39" s="131"/>
      <c r="P39" s="84"/>
      <c r="Q39" s="14"/>
      <c r="R39" s="14"/>
      <c r="S39" s="192"/>
      <c r="T39" s="28"/>
      <c r="U39" s="28"/>
      <c r="V39" s="28"/>
      <c r="W39" s="28"/>
      <c r="X39" s="28"/>
      <c r="Y39" s="28"/>
      <c r="Z39" s="350"/>
      <c r="AA39" s="198"/>
      <c r="AB39" s="350"/>
      <c r="AC39" s="350"/>
      <c r="AD39" s="28"/>
      <c r="AE39" s="181"/>
      <c r="AF39" s="73"/>
      <c r="AG39" s="73"/>
      <c r="AH39" s="28"/>
      <c r="AI39" s="28"/>
      <c r="AJ39" s="15"/>
    </row>
    <row r="40" spans="1:43" s="208" customFormat="1" ht="8.1" customHeight="1" x14ac:dyDescent="0.2">
      <c r="A40" s="62"/>
      <c r="B40" s="35"/>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16"/>
      <c r="AD40" s="61"/>
      <c r="AE40" s="61"/>
      <c r="AF40" s="61"/>
      <c r="AG40" s="61"/>
      <c r="AH40" s="61"/>
      <c r="AI40" s="28"/>
      <c r="AJ40" s="15"/>
    </row>
    <row r="41" spans="1:43" s="208" customFormat="1" ht="17.25" customHeight="1" x14ac:dyDescent="0.2">
      <c r="A41" s="62"/>
      <c r="B41" s="35"/>
      <c r="C41" s="72"/>
      <c r="D41" s="28" t="s">
        <v>709</v>
      </c>
      <c r="E41" s="28"/>
      <c r="F41" s="28"/>
      <c r="G41" s="28"/>
      <c r="H41" s="607"/>
      <c r="I41" s="607"/>
      <c r="J41" s="607"/>
      <c r="K41" s="144" t="s">
        <v>112</v>
      </c>
      <c r="L41" s="72"/>
      <c r="M41" s="610" t="str">
        <f>IF(H41&gt;=500,"Bitte beachten Sie die Informationen im Titel (rote Ecke)","")</f>
        <v/>
      </c>
      <c r="N41" s="610"/>
      <c r="O41" s="610"/>
      <c r="P41" s="610"/>
      <c r="Q41" s="610"/>
      <c r="R41" s="610"/>
      <c r="S41" s="610"/>
      <c r="T41" s="610"/>
      <c r="U41" s="610"/>
      <c r="V41" s="610"/>
      <c r="W41" s="610"/>
      <c r="X41" s="610"/>
      <c r="Y41" s="610"/>
      <c r="Z41" s="610"/>
      <c r="AA41" s="610"/>
      <c r="AB41" s="610"/>
      <c r="AC41" s="610"/>
      <c r="AD41" s="610"/>
      <c r="AE41" s="610"/>
      <c r="AF41" s="610"/>
      <c r="AG41" s="610"/>
      <c r="AH41" s="610"/>
      <c r="AI41" s="28"/>
      <c r="AJ41" s="15"/>
    </row>
    <row r="42" spans="1:43" s="208" customFormat="1" ht="8.1" customHeight="1" x14ac:dyDescent="0.2">
      <c r="A42" s="62"/>
      <c r="B42" s="35"/>
      <c r="C42" s="72"/>
      <c r="D42" s="72"/>
      <c r="E42" s="72"/>
      <c r="F42" s="72"/>
      <c r="G42" s="72"/>
      <c r="H42" s="72"/>
      <c r="I42" s="72"/>
      <c r="J42" s="72"/>
      <c r="K42" s="72"/>
      <c r="L42" s="72"/>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28"/>
      <c r="AJ42" s="15"/>
    </row>
    <row r="43" spans="1:43" s="208" customFormat="1" ht="8.1" customHeight="1" x14ac:dyDescent="0.2">
      <c r="A43" s="62"/>
      <c r="B43" s="35"/>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16"/>
      <c r="AD43" s="61"/>
      <c r="AE43" s="61"/>
      <c r="AF43" s="61"/>
      <c r="AG43" s="61"/>
      <c r="AH43" s="61"/>
      <c r="AI43" s="28"/>
      <c r="AJ43" s="15"/>
    </row>
    <row r="44" spans="1:43" s="208" customFormat="1" ht="15.75" customHeight="1" x14ac:dyDescent="0.2">
      <c r="A44" s="62"/>
      <c r="B44" s="28"/>
      <c r="C44" s="26"/>
      <c r="D44" s="26"/>
      <c r="E44" s="28" t="s">
        <v>553</v>
      </c>
      <c r="F44" s="27"/>
      <c r="G44" s="27"/>
      <c r="H44" s="27"/>
      <c r="I44" s="27"/>
      <c r="J44" s="27"/>
      <c r="K44" s="27"/>
      <c r="L44" s="27"/>
      <c r="M44" s="27"/>
      <c r="N44" s="27"/>
      <c r="O44" s="27"/>
      <c r="P44" s="27"/>
      <c r="Q44" s="27"/>
      <c r="R44" s="27"/>
      <c r="S44" s="27"/>
      <c r="T44" s="27"/>
      <c r="U44" s="27"/>
      <c r="V44" s="27"/>
      <c r="W44" s="27"/>
      <c r="X44" s="27"/>
      <c r="Y44" s="27"/>
      <c r="Z44" s="27"/>
      <c r="AA44" s="27"/>
      <c r="AB44" s="26"/>
      <c r="AC44" s="27"/>
      <c r="AD44" s="27"/>
      <c r="AE44" s="27"/>
      <c r="AF44" s="27"/>
      <c r="AG44" s="27"/>
      <c r="AH44" s="27"/>
      <c r="AI44" s="28"/>
      <c r="AJ44" s="15"/>
      <c r="AK44" s="208" t="b">
        <v>0</v>
      </c>
    </row>
    <row r="45" spans="1:43" s="208" customFormat="1" ht="15.75" customHeight="1" x14ac:dyDescent="0.2">
      <c r="A45" s="62"/>
      <c r="B45" s="28"/>
      <c r="C45" s="26"/>
      <c r="D45" s="26"/>
      <c r="E45" s="28" t="s">
        <v>432</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I45" s="28"/>
      <c r="AJ45" s="15"/>
      <c r="AK45" s="208" t="b">
        <v>0</v>
      </c>
    </row>
    <row r="46" spans="1:43" s="208" customFormat="1" ht="15.75" customHeight="1" x14ac:dyDescent="0.2">
      <c r="A46" s="62"/>
      <c r="B46" s="28"/>
      <c r="C46" s="26"/>
      <c r="D46" s="26"/>
      <c r="E46" s="28" t="s">
        <v>433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I46" s="28"/>
      <c r="AJ46" s="15"/>
      <c r="AK46" s="208" t="b">
        <v>0</v>
      </c>
    </row>
    <row r="47" spans="1:43" s="208" customFormat="1" ht="15.75" customHeight="1" x14ac:dyDescent="0.2">
      <c r="A47" s="62"/>
      <c r="B47" s="28"/>
      <c r="C47" s="26"/>
      <c r="D47" s="26"/>
      <c r="E47" s="28" t="s">
        <v>555</v>
      </c>
      <c r="F47" s="27"/>
      <c r="G47" s="27"/>
      <c r="H47" s="27"/>
      <c r="I47" s="27"/>
      <c r="J47" s="27"/>
      <c r="K47" s="27"/>
      <c r="L47" s="27"/>
      <c r="M47" s="27"/>
      <c r="N47" s="27"/>
      <c r="O47" s="27"/>
      <c r="P47" s="27"/>
      <c r="Q47" s="27"/>
      <c r="R47" s="27"/>
      <c r="S47" s="27"/>
      <c r="T47" s="27"/>
      <c r="U47" s="27"/>
      <c r="V47" s="27"/>
      <c r="W47" s="27"/>
      <c r="X47" s="27"/>
      <c r="Y47" s="27"/>
      <c r="Z47" s="27"/>
      <c r="AA47" s="29"/>
      <c r="AB47" s="27"/>
      <c r="AC47" s="27"/>
      <c r="AD47" s="27"/>
      <c r="AE47" s="27"/>
      <c r="AF47" s="27"/>
      <c r="AG47" s="27"/>
      <c r="AH47" s="27"/>
      <c r="AI47" s="28"/>
      <c r="AJ47" s="15"/>
      <c r="AK47" s="208" t="b">
        <v>0</v>
      </c>
    </row>
    <row r="48" spans="1:43" s="208" customFormat="1" ht="8.1" customHeight="1" x14ac:dyDescent="0.2">
      <c r="A48" s="6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15"/>
    </row>
    <row r="49" spans="1:38" s="208" customFormat="1" ht="15.75" customHeight="1" x14ac:dyDescent="0.2">
      <c r="A49" s="62"/>
      <c r="B49" s="28"/>
      <c r="C49" s="81"/>
      <c r="D49" s="189" t="str">
        <f>IF(OR(AK44=TRUE,AK45=TRUE,AK46=TRUE,AK47=TRUE),"Begründung im Anhang anzugeben","")</f>
        <v/>
      </c>
      <c r="E49" s="28"/>
      <c r="F49" s="28"/>
      <c r="G49" s="28"/>
      <c r="H49" s="28"/>
      <c r="I49" s="28"/>
      <c r="J49" s="28"/>
      <c r="K49" s="18"/>
      <c r="L49" s="18"/>
      <c r="M49" s="18"/>
      <c r="N49" s="18"/>
      <c r="O49" s="18"/>
      <c r="P49" s="28"/>
      <c r="Q49" s="18"/>
      <c r="R49" s="182"/>
      <c r="S49" s="30"/>
      <c r="T49" s="18"/>
      <c r="U49" s="30"/>
      <c r="V49" s="18"/>
      <c r="W49" s="18"/>
      <c r="X49" s="18"/>
      <c r="Y49" s="18"/>
      <c r="Z49" s="18"/>
      <c r="AA49" s="18"/>
      <c r="AB49" s="22" t="s">
        <v>531</v>
      </c>
      <c r="AC49" s="617">
        <f>IF(AK38=0,0,IF(AC50&lt;&gt;0,"",IF(AK49&gt;30,30,AK49)))</f>
        <v>0</v>
      </c>
      <c r="AD49" s="617"/>
      <c r="AE49" s="617"/>
      <c r="AF49" s="496" t="s">
        <v>328</v>
      </c>
      <c r="AG49" s="496"/>
      <c r="AH49" s="96"/>
      <c r="AI49" s="28"/>
      <c r="AJ49" s="15"/>
      <c r="AK49" s="212">
        <f>IF(Y38="Keine Eigenstromerzeugung erforderlich",0,IF(AC50&lt;&gt;0,AC50,IF((20*H41/1000)&gt;30,30,20*H41/1000)))</f>
        <v>0</v>
      </c>
      <c r="AL49" s="208" t="s">
        <v>465</v>
      </c>
    </row>
    <row r="50" spans="1:38" ht="15.75" customHeight="1" x14ac:dyDescent="0.2">
      <c r="B50" s="28"/>
      <c r="C50" s="189" t="str">
        <f>IF(AC50&lt;&gt;0,"Begründung gemäss kEnV Art.64 Ab.2 im Anhang einreichen","")</f>
        <v/>
      </c>
      <c r="D50" s="28"/>
      <c r="E50" s="28"/>
      <c r="F50" s="28"/>
      <c r="G50" s="28"/>
      <c r="H50" s="28"/>
      <c r="I50" s="28"/>
      <c r="J50" s="28"/>
      <c r="K50" s="18"/>
      <c r="L50" s="18"/>
      <c r="M50" s="18"/>
      <c r="N50" s="18"/>
      <c r="O50" s="18"/>
      <c r="P50" s="28"/>
      <c r="Q50" s="18"/>
      <c r="R50" s="183"/>
      <c r="S50" s="30"/>
      <c r="T50" s="18"/>
      <c r="U50" s="30"/>
      <c r="V50" s="18"/>
      <c r="W50" s="82"/>
      <c r="X50" s="82"/>
      <c r="Y50" s="82"/>
      <c r="Z50" s="82"/>
      <c r="AA50" s="82"/>
      <c r="AB50" s="22" t="s">
        <v>554</v>
      </c>
      <c r="AC50" s="562"/>
      <c r="AD50" s="562"/>
      <c r="AE50" s="562"/>
      <c r="AF50" s="563" t="s">
        <v>328</v>
      </c>
      <c r="AG50" s="563"/>
      <c r="AH50" s="74"/>
      <c r="AK50" s="212"/>
    </row>
    <row r="51" spans="1:38" ht="8.1" customHeight="1" thickBot="1" x14ac:dyDescent="0.2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84"/>
      <c r="AD51" s="14"/>
      <c r="AE51" s="14"/>
      <c r="AF51" s="14"/>
      <c r="AG51" s="14"/>
      <c r="AH51" s="14"/>
    </row>
    <row r="52" spans="1:38" ht="8.1" customHeight="1" x14ac:dyDescent="0.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78"/>
      <c r="AC52" s="174"/>
      <c r="AD52" s="28"/>
      <c r="AE52" s="28"/>
      <c r="AF52" s="28"/>
      <c r="AG52" s="28"/>
      <c r="AH52" s="28"/>
    </row>
    <row r="53" spans="1:38" ht="18.75" customHeight="1" x14ac:dyDescent="0.2">
      <c r="B53" s="227" t="s">
        <v>174</v>
      </c>
      <c r="C53" s="227"/>
      <c r="D53" s="615" t="s">
        <v>577</v>
      </c>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6"/>
      <c r="AC53" s="748" t="str">
        <f>IF(AND(AK19=TRUE,H57&lt;&gt;0),"Eigenstromerzeugung erforderlich","")</f>
        <v/>
      </c>
      <c r="AD53" s="749"/>
      <c r="AE53" s="749"/>
      <c r="AF53" s="749"/>
      <c r="AG53" s="749"/>
      <c r="AH53" s="73"/>
      <c r="AI53" s="77"/>
      <c r="AJ53" s="230"/>
    </row>
    <row r="54" spans="1:38" ht="18.75" customHeight="1" x14ac:dyDescent="0.2">
      <c r="B54" s="227"/>
      <c r="C54" s="227"/>
      <c r="D54" s="615"/>
      <c r="E54" s="615"/>
      <c r="F54" s="615"/>
      <c r="G54" s="615"/>
      <c r="H54" s="615"/>
      <c r="I54" s="615"/>
      <c r="J54" s="615"/>
      <c r="K54" s="615"/>
      <c r="L54" s="615"/>
      <c r="M54" s="615"/>
      <c r="N54" s="615"/>
      <c r="O54" s="615"/>
      <c r="P54" s="615"/>
      <c r="Q54" s="615"/>
      <c r="R54" s="615"/>
      <c r="S54" s="615"/>
      <c r="T54" s="615"/>
      <c r="U54" s="615"/>
      <c r="V54" s="615"/>
      <c r="W54" s="615"/>
      <c r="X54" s="615"/>
      <c r="Y54" s="615"/>
      <c r="Z54" s="615"/>
      <c r="AA54" s="615"/>
      <c r="AB54" s="616"/>
      <c r="AC54" s="748"/>
      <c r="AD54" s="749"/>
      <c r="AE54" s="749"/>
      <c r="AF54" s="749"/>
      <c r="AG54" s="749"/>
      <c r="AH54" s="73"/>
      <c r="AI54" s="77"/>
      <c r="AJ54" s="230"/>
    </row>
    <row r="55" spans="1:38" ht="15.75" customHeight="1" thickBot="1" x14ac:dyDescent="0.25">
      <c r="B55" s="135" t="s">
        <v>598</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180"/>
      <c r="AC55" s="316"/>
      <c r="AD55" s="77"/>
      <c r="AE55" s="77"/>
      <c r="AF55" s="77"/>
      <c r="AG55" s="77"/>
      <c r="AH55" s="77"/>
      <c r="AI55" s="77"/>
      <c r="AJ55" s="230"/>
    </row>
    <row r="56" spans="1:38" ht="8.1" customHeight="1" x14ac:dyDescent="0.2">
      <c r="B56" s="86"/>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230"/>
    </row>
    <row r="57" spans="1:38" ht="15.75" customHeight="1" x14ac:dyDescent="0.2">
      <c r="B57" s="86"/>
      <c r="C57" s="77"/>
      <c r="D57" s="77" t="s">
        <v>427</v>
      </c>
      <c r="E57" s="77"/>
      <c r="F57" s="77"/>
      <c r="G57" s="77"/>
      <c r="H57" s="662"/>
      <c r="I57" s="662"/>
      <c r="J57" s="662"/>
      <c r="K57" s="145" t="s">
        <v>113</v>
      </c>
      <c r="L57" s="77"/>
      <c r="M57" s="77"/>
      <c r="N57" s="77"/>
      <c r="O57" s="77"/>
      <c r="P57" s="28"/>
      <c r="Q57" s="28"/>
      <c r="R57" s="28"/>
      <c r="S57" s="28"/>
      <c r="T57" s="28"/>
      <c r="U57" s="28"/>
      <c r="V57" s="28"/>
      <c r="W57" s="28"/>
      <c r="X57" s="28"/>
      <c r="Y57" s="77"/>
      <c r="Z57" s="77"/>
      <c r="AA57" s="77"/>
      <c r="AB57" s="77"/>
      <c r="AC57" s="184"/>
      <c r="AD57" s="77"/>
      <c r="AE57" s="77"/>
      <c r="AF57" s="77"/>
      <c r="AG57" s="77"/>
      <c r="AH57" s="77"/>
      <c r="AI57" s="77"/>
      <c r="AJ57" s="230"/>
    </row>
    <row r="58" spans="1:38" ht="8.1" customHeight="1" x14ac:dyDescent="0.2">
      <c r="B58" s="86"/>
      <c r="C58" s="77"/>
      <c r="D58" s="77"/>
      <c r="E58" s="77"/>
      <c r="F58" s="77"/>
      <c r="G58" s="77"/>
      <c r="H58" s="77"/>
      <c r="I58" s="77"/>
      <c r="J58" s="77"/>
      <c r="K58" s="77"/>
      <c r="L58" s="77"/>
      <c r="M58" s="77"/>
      <c r="N58" s="77"/>
      <c r="O58" s="77"/>
      <c r="P58" s="77"/>
      <c r="Q58" s="77"/>
      <c r="R58" s="77"/>
      <c r="S58" s="77"/>
      <c r="T58" s="142"/>
      <c r="U58" s="142"/>
      <c r="V58" s="142"/>
      <c r="W58" s="87"/>
      <c r="X58" s="77"/>
      <c r="Y58" s="77"/>
      <c r="Z58" s="77"/>
      <c r="AA58" s="77"/>
      <c r="AB58" s="77"/>
      <c r="AC58" s="77"/>
      <c r="AD58" s="77"/>
      <c r="AE58" s="77"/>
      <c r="AF58" s="77"/>
      <c r="AG58" s="77"/>
      <c r="AH58" s="77"/>
      <c r="AI58" s="77"/>
      <c r="AJ58" s="230"/>
    </row>
    <row r="59" spans="1:38" ht="15.75" customHeight="1" x14ac:dyDescent="0.2">
      <c r="B59" s="77"/>
      <c r="C59" s="77"/>
      <c r="D59" s="77"/>
      <c r="E59" s="105" t="s">
        <v>599</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230"/>
      <c r="AK59" s="208" t="b">
        <v>0</v>
      </c>
    </row>
    <row r="60" spans="1:38" ht="7.5" customHeight="1" x14ac:dyDescent="0.2">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230"/>
    </row>
    <row r="61" spans="1:38" ht="15.75" customHeight="1" x14ac:dyDescent="0.2">
      <c r="B61" s="77"/>
      <c r="C61" s="77"/>
      <c r="D61" s="77"/>
      <c r="E61" s="77"/>
      <c r="F61" s="77"/>
      <c r="G61" s="77"/>
      <c r="H61" s="77"/>
      <c r="I61" s="77"/>
      <c r="J61" s="77"/>
      <c r="K61" s="77"/>
      <c r="L61" s="77"/>
      <c r="M61" s="77"/>
      <c r="N61" s="77"/>
      <c r="O61" s="77"/>
      <c r="P61" s="77"/>
      <c r="Q61" s="77"/>
      <c r="R61" s="183"/>
      <c r="S61" s="77"/>
      <c r="T61" s="77"/>
      <c r="U61" s="77"/>
      <c r="V61" s="77"/>
      <c r="W61" s="77"/>
      <c r="X61" s="77"/>
      <c r="Y61" s="77"/>
      <c r="Z61" s="77"/>
      <c r="AA61" s="77"/>
      <c r="AB61" s="89" t="s">
        <v>434</v>
      </c>
      <c r="AC61" s="663">
        <f>IF(AK59,H57*5/1000,0)</f>
        <v>0</v>
      </c>
      <c r="AD61" s="663"/>
      <c r="AE61" s="663"/>
      <c r="AF61" s="665" t="s">
        <v>465</v>
      </c>
      <c r="AG61" s="665"/>
      <c r="AH61" s="77"/>
      <c r="AI61" s="77"/>
      <c r="AJ61" s="230"/>
    </row>
    <row r="62" spans="1:38" ht="15.75" customHeight="1" x14ac:dyDescent="0.2">
      <c r="B62" s="77"/>
      <c r="C62" s="77"/>
      <c r="D62" s="77"/>
      <c r="E62" s="77"/>
      <c r="F62" s="77"/>
      <c r="G62" s="77"/>
      <c r="H62" s="77"/>
      <c r="I62" s="77"/>
      <c r="J62" s="77"/>
      <c r="K62" s="77"/>
      <c r="L62" s="77"/>
      <c r="M62" s="77"/>
      <c r="N62" s="77"/>
      <c r="O62" s="77"/>
      <c r="P62" s="77"/>
      <c r="Q62" s="77"/>
      <c r="R62" s="183"/>
      <c r="S62" s="77"/>
      <c r="T62" s="77"/>
      <c r="U62" s="77"/>
      <c r="V62" s="77"/>
      <c r="W62" s="77"/>
      <c r="X62" s="77"/>
      <c r="Y62" s="77"/>
      <c r="Z62" s="77"/>
      <c r="AA62" s="77"/>
      <c r="AB62" s="28"/>
      <c r="AC62" s="618"/>
      <c r="AD62" s="618"/>
      <c r="AE62" s="618"/>
      <c r="AF62" s="619"/>
      <c r="AG62" s="619"/>
      <c r="AH62" s="77"/>
      <c r="AI62" s="77"/>
      <c r="AJ62" s="230"/>
    </row>
    <row r="63" spans="1:38"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230"/>
    </row>
    <row r="64" spans="1:38" ht="15.75" customHeight="1" x14ac:dyDescent="0.2">
      <c r="B64" s="77"/>
      <c r="C64" s="77"/>
      <c r="D64" s="77"/>
      <c r="E64" s="77" t="s">
        <v>600</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230"/>
      <c r="AK64" s="208" t="b">
        <v>0</v>
      </c>
    </row>
    <row r="65" spans="2:39" ht="12.75" x14ac:dyDescent="0.2">
      <c r="B65" s="77"/>
      <c r="C65" s="77"/>
      <c r="D65" s="77"/>
      <c r="E65" s="23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230"/>
    </row>
    <row r="66" spans="2:39" ht="15.75" customHeight="1" x14ac:dyDescent="0.2">
      <c r="B66" s="77"/>
      <c r="C66" s="77"/>
      <c r="D66" s="77"/>
      <c r="E66" s="77"/>
      <c r="F66" s="77"/>
      <c r="G66" s="77"/>
      <c r="H66" s="77"/>
      <c r="I66" s="77"/>
      <c r="J66" s="77"/>
      <c r="K66" s="77"/>
      <c r="L66" s="77"/>
      <c r="M66" s="77"/>
      <c r="N66" s="77"/>
      <c r="O66" s="77"/>
      <c r="P66" s="183"/>
      <c r="Q66" s="77"/>
      <c r="S66" s="77"/>
      <c r="T66" s="77"/>
      <c r="U66" s="77"/>
      <c r="V66" s="77"/>
      <c r="W66" s="77"/>
      <c r="X66" s="77"/>
      <c r="Y66" s="77"/>
      <c r="Z66" s="77"/>
      <c r="AA66" s="77"/>
      <c r="AB66" s="89" t="s">
        <v>532</v>
      </c>
      <c r="AC66" s="666"/>
      <c r="AD66" s="666"/>
      <c r="AE66" s="666"/>
      <c r="AF66" s="667" t="s">
        <v>45</v>
      </c>
      <c r="AG66" s="667"/>
      <c r="AH66" s="77"/>
      <c r="AI66" s="77"/>
      <c r="AJ66" s="230"/>
      <c r="AK66" s="213">
        <f>ROUNDDOWN(AC62+AC66,1)</f>
        <v>0</v>
      </c>
      <c r="AL66" s="208" t="s">
        <v>45</v>
      </c>
      <c r="AM66" s="208" t="s">
        <v>91</v>
      </c>
    </row>
    <row r="67" spans="2:39" ht="15.75" customHeight="1" x14ac:dyDescent="0.2">
      <c r="B67" s="189" t="str">
        <f>IF(OR(AK64=TRUE,AK66&lt;&gt;0),"Bedarfsnachweis gemäss kEnV Art. 63 Abs. 2b erbringen","")</f>
        <v/>
      </c>
      <c r="C67" s="28"/>
      <c r="D67" s="28"/>
      <c r="E67" s="77"/>
      <c r="F67" s="28"/>
      <c r="G67" s="77"/>
      <c r="H67" s="77"/>
      <c r="I67" s="28"/>
      <c r="J67" s="77"/>
      <c r="K67" s="77"/>
      <c r="L67" s="28"/>
      <c r="M67" s="77"/>
      <c r="N67" s="28"/>
      <c r="O67" s="77"/>
      <c r="P67" s="251"/>
      <c r="Q67" s="77"/>
      <c r="R67" s="77"/>
      <c r="S67" s="77"/>
      <c r="T67" s="77"/>
      <c r="U67" s="77"/>
      <c r="V67" s="77"/>
      <c r="W67" s="77"/>
      <c r="X67" s="77"/>
      <c r="Y67" s="77"/>
      <c r="Z67" s="77"/>
      <c r="AA67" s="77"/>
      <c r="AB67" s="89"/>
      <c r="AC67" s="175"/>
      <c r="AD67" s="175"/>
      <c r="AE67" s="175"/>
      <c r="AF67" s="176"/>
      <c r="AG67" s="28"/>
      <c r="AH67" s="77"/>
      <c r="AI67" s="77"/>
      <c r="AJ67" s="230"/>
      <c r="AK67" s="213"/>
    </row>
    <row r="68" spans="2:39" ht="15.75" customHeight="1" x14ac:dyDescent="0.2">
      <c r="B68" s="189" t="str">
        <f>IF(OR(AK64=TRUE,AK66&lt;&gt;0),"Berechnung der vor Ort erzeugten spezifischen Energie (Energie-Schweiz-Rechner oder andere) und  Block Nr. ④ hier unter Ausfüllen","")</f>
        <v/>
      </c>
      <c r="C68" s="28"/>
      <c r="D68" s="28"/>
      <c r="E68" s="77"/>
      <c r="F68" s="28"/>
      <c r="G68" s="77"/>
      <c r="H68" s="77"/>
      <c r="I68" s="28"/>
      <c r="J68" s="77"/>
      <c r="K68" s="77"/>
      <c r="L68" s="28"/>
      <c r="M68" s="77"/>
      <c r="N68" s="28"/>
      <c r="O68" s="77"/>
      <c r="P68" s="251"/>
      <c r="Q68" s="77"/>
      <c r="R68" s="77"/>
      <c r="S68" s="77"/>
      <c r="T68" s="77"/>
      <c r="U68" s="77"/>
      <c r="V68" s="77"/>
      <c r="W68" s="77"/>
      <c r="X68" s="77"/>
      <c r="Y68" s="77"/>
      <c r="Z68" s="77"/>
      <c r="AA68" s="77"/>
      <c r="AB68" s="89"/>
      <c r="AC68" s="175"/>
      <c r="AD68" s="175"/>
      <c r="AE68" s="175"/>
      <c r="AF68" s="176"/>
      <c r="AG68" s="28"/>
      <c r="AH68" s="77"/>
      <c r="AI68" s="77"/>
      <c r="AJ68" s="230"/>
      <c r="AK68" s="213"/>
    </row>
    <row r="69" spans="2:39" ht="8.1" customHeight="1" thickBot="1" x14ac:dyDescent="0.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4"/>
      <c r="AC69" s="88"/>
      <c r="AD69" s="88"/>
      <c r="AE69" s="88"/>
      <c r="AF69" s="88"/>
      <c r="AG69" s="88"/>
      <c r="AH69" s="88"/>
      <c r="AI69" s="77"/>
      <c r="AJ69" s="230"/>
    </row>
    <row r="70" spans="2:39" ht="8.1" customHeight="1"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78"/>
      <c r="AB70" s="126"/>
      <c r="AC70" s="28"/>
      <c r="AD70" s="28"/>
      <c r="AE70" s="28"/>
      <c r="AF70" s="28"/>
      <c r="AG70" s="28"/>
      <c r="AH70" s="28"/>
    </row>
    <row r="71" spans="2:39" ht="15.75" x14ac:dyDescent="0.2">
      <c r="B71" s="34" t="s">
        <v>140</v>
      </c>
      <c r="C71" s="34"/>
      <c r="D71" s="615" t="s">
        <v>435</v>
      </c>
      <c r="E71" s="615"/>
      <c r="F71" s="615"/>
      <c r="G71" s="615"/>
      <c r="H71" s="615"/>
      <c r="I71" s="615"/>
      <c r="J71" s="615"/>
      <c r="K71" s="615"/>
      <c r="L71" s="615"/>
      <c r="M71" s="615"/>
      <c r="N71" s="615"/>
      <c r="O71" s="615"/>
      <c r="P71" s="615"/>
      <c r="Q71" s="615"/>
      <c r="R71" s="615"/>
      <c r="S71" s="615"/>
      <c r="T71" s="615"/>
      <c r="U71" s="615"/>
      <c r="V71" s="615"/>
      <c r="W71" s="615"/>
      <c r="X71" s="615"/>
      <c r="Y71" s="615"/>
      <c r="Z71" s="615"/>
      <c r="AA71" s="616"/>
      <c r="AB71" s="34"/>
      <c r="AC71" s="674" t="str">
        <f>IF(AK75=1,"EN-VS-104 nicht erforderlich, Grenzwert E hwlk muss jedoch erfüllt werden",IF(OR(AK75=2,AK75=6),"Nachweispflichtiges Projekt",IF(OR(AK75=3,AK75=5),"Keine Eigenstromrzeugung erforderlich",IF(AK75=4,"Nachweispflichtiges Projekt als Ergänzung zu Standardlösungen",""))))</f>
        <v>Nachweispflichtiges Projekt</v>
      </c>
      <c r="AD71" s="674"/>
      <c r="AE71" s="674"/>
      <c r="AF71" s="674"/>
      <c r="AG71" s="674"/>
      <c r="AH71" s="674"/>
      <c r="AI71" s="674"/>
    </row>
    <row r="72" spans="2:39" ht="15.75" customHeight="1" x14ac:dyDescent="0.2">
      <c r="B72" s="34"/>
      <c r="C72" s="34"/>
      <c r="D72" s="615"/>
      <c r="E72" s="615"/>
      <c r="F72" s="615"/>
      <c r="G72" s="615"/>
      <c r="H72" s="615"/>
      <c r="I72" s="615"/>
      <c r="J72" s="615"/>
      <c r="K72" s="615"/>
      <c r="L72" s="615"/>
      <c r="M72" s="615"/>
      <c r="N72" s="615"/>
      <c r="O72" s="615"/>
      <c r="P72" s="615"/>
      <c r="Q72" s="615"/>
      <c r="R72" s="615"/>
      <c r="S72" s="615"/>
      <c r="T72" s="615"/>
      <c r="U72" s="615"/>
      <c r="V72" s="615"/>
      <c r="W72" s="615"/>
      <c r="X72" s="615"/>
      <c r="Y72" s="615"/>
      <c r="Z72" s="615"/>
      <c r="AA72" s="616"/>
      <c r="AB72" s="34"/>
      <c r="AC72" s="674"/>
      <c r="AD72" s="674"/>
      <c r="AE72" s="674"/>
      <c r="AF72" s="674"/>
      <c r="AG72" s="674"/>
      <c r="AH72" s="674"/>
      <c r="AI72" s="674"/>
    </row>
    <row r="73" spans="2:39" ht="13.5" customHeight="1" thickBot="1" x14ac:dyDescent="0.25">
      <c r="B73" s="135" t="s">
        <v>601</v>
      </c>
      <c r="C73" s="88"/>
      <c r="D73" s="88"/>
      <c r="E73" s="88"/>
      <c r="F73" s="88"/>
      <c r="G73" s="88"/>
      <c r="H73" s="88"/>
      <c r="I73" s="88"/>
      <c r="J73" s="88"/>
      <c r="K73" s="88"/>
      <c r="L73" s="88"/>
      <c r="M73" s="88"/>
      <c r="N73" s="88"/>
      <c r="O73" s="88"/>
      <c r="P73" s="88"/>
      <c r="Q73" s="88"/>
      <c r="R73" s="88"/>
      <c r="S73" s="88"/>
      <c r="T73" s="88"/>
      <c r="U73" s="88"/>
      <c r="V73" s="88"/>
      <c r="W73" s="88"/>
      <c r="X73" s="88"/>
      <c r="Y73" s="88"/>
      <c r="Z73" s="88"/>
      <c r="AA73" s="287"/>
      <c r="AC73" s="674"/>
      <c r="AD73" s="674"/>
      <c r="AE73" s="674"/>
      <c r="AF73" s="674"/>
      <c r="AG73" s="674"/>
      <c r="AH73" s="674"/>
      <c r="AI73" s="674"/>
    </row>
    <row r="74" spans="2:39" ht="15.75" customHeight="1" x14ac:dyDescent="0.2">
      <c r="B74" s="8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674"/>
      <c r="AD74" s="674"/>
      <c r="AE74" s="674"/>
      <c r="AF74" s="674"/>
      <c r="AG74" s="674"/>
      <c r="AH74" s="674"/>
      <c r="AI74" s="674"/>
      <c r="AJ74" s="230"/>
    </row>
    <row r="75" spans="2:39" ht="15.75" x14ac:dyDescent="0.2">
      <c r="B75" s="91"/>
      <c r="C75" s="91"/>
      <c r="D75" s="90" t="s">
        <v>533</v>
      </c>
      <c r="E75" s="90"/>
      <c r="F75" s="90"/>
      <c r="G75" s="90"/>
      <c r="H75" s="90"/>
      <c r="I75" s="90"/>
      <c r="J75" s="90"/>
      <c r="K75" s="90"/>
      <c r="L75" s="90"/>
      <c r="M75" s="90"/>
      <c r="N75" s="90"/>
      <c r="O75" s="90"/>
      <c r="P75" s="90"/>
      <c r="Q75" s="90"/>
      <c r="R75" s="90"/>
      <c r="S75" s="90"/>
      <c r="T75" s="90"/>
      <c r="U75" s="90"/>
      <c r="V75" s="90"/>
      <c r="W75" s="90"/>
      <c r="X75" s="90"/>
      <c r="Y75" s="189" t="str">
        <f>IF(AK75=1,"EN-VS-101b notwendig, E hwlk-Wert ist einzuhalten","")</f>
        <v/>
      </c>
      <c r="Z75" s="28"/>
      <c r="AA75" s="17"/>
      <c r="AB75" s="17"/>
      <c r="AC75" s="28"/>
      <c r="AD75" s="17"/>
      <c r="AE75" s="17"/>
      <c r="AF75" s="17"/>
      <c r="AG75" s="17"/>
      <c r="AH75" s="16"/>
      <c r="AK75" s="208">
        <v>6</v>
      </c>
      <c r="AL75" s="208" t="s">
        <v>236</v>
      </c>
    </row>
    <row r="76" spans="2:39" ht="18.75" customHeight="1" x14ac:dyDescent="0.2">
      <c r="B76" s="91"/>
      <c r="C76" s="91"/>
      <c r="D76" s="28" t="s">
        <v>534</v>
      </c>
      <c r="E76" s="197"/>
      <c r="F76" s="197"/>
      <c r="G76" s="197"/>
      <c r="H76" s="197"/>
      <c r="I76" s="197"/>
      <c r="J76" s="197"/>
      <c r="K76" s="197"/>
      <c r="L76" s="197"/>
      <c r="M76" s="197"/>
      <c r="N76" s="197"/>
      <c r="O76" s="197"/>
      <c r="P76" s="197"/>
      <c r="Q76" s="197"/>
      <c r="R76" s="17"/>
      <c r="S76" s="46"/>
      <c r="T76" s="17"/>
      <c r="U76" s="17"/>
      <c r="V76" s="17"/>
      <c r="W76" s="17"/>
      <c r="X76" s="17"/>
      <c r="Y76" s="17"/>
      <c r="Z76" s="28"/>
      <c r="AA76" s="17"/>
      <c r="AB76" s="17"/>
      <c r="AC76" s="564" t="str">
        <f>IF(AK75=4,"EN-VS-101a notwendig + Kompensation hier","")</f>
        <v/>
      </c>
      <c r="AD76" s="564"/>
      <c r="AE76" s="564"/>
      <c r="AF76" s="564"/>
      <c r="AG76" s="564"/>
      <c r="AH76" s="17"/>
    </row>
    <row r="77" spans="2:39" ht="18.75" customHeight="1" x14ac:dyDescent="0.2">
      <c r="B77" s="91"/>
      <c r="C77" s="91"/>
      <c r="D77" s="28" t="s">
        <v>436</v>
      </c>
      <c r="E77" s="197"/>
      <c r="F77" s="197"/>
      <c r="G77" s="197"/>
      <c r="H77" s="197"/>
      <c r="I77" s="197"/>
      <c r="J77" s="197"/>
      <c r="K77" s="197"/>
      <c r="L77" s="197"/>
      <c r="M77" s="197"/>
      <c r="N77" s="197"/>
      <c r="O77" s="197"/>
      <c r="P77" s="197"/>
      <c r="Q77" s="197"/>
      <c r="R77" s="188"/>
      <c r="S77" s="188"/>
      <c r="T77" s="188"/>
      <c r="U77" s="188"/>
      <c r="V77" s="188"/>
      <c r="W77" s="188"/>
      <c r="X77" s="188"/>
      <c r="Y77" s="188"/>
      <c r="Z77" s="272"/>
      <c r="AA77" s="272"/>
      <c r="AB77" s="272"/>
      <c r="AC77" s="564"/>
      <c r="AD77" s="564"/>
      <c r="AE77" s="564"/>
      <c r="AF77" s="564"/>
      <c r="AG77" s="564"/>
      <c r="AH77" s="272"/>
      <c r="AL77" s="208" t="s">
        <v>237</v>
      </c>
    </row>
    <row r="78" spans="2:39" ht="18.75" customHeight="1" x14ac:dyDescent="0.2">
      <c r="B78" s="91"/>
      <c r="C78" s="91"/>
      <c r="D78" s="77" t="s">
        <v>535</v>
      </c>
      <c r="E78" s="197"/>
      <c r="F78" s="197"/>
      <c r="G78" s="197"/>
      <c r="H78" s="197"/>
      <c r="I78" s="197"/>
      <c r="J78" s="197"/>
      <c r="K78" s="197"/>
      <c r="L78" s="197"/>
      <c r="M78" s="197"/>
      <c r="N78" s="197"/>
      <c r="O78" s="197"/>
      <c r="P78" s="197"/>
      <c r="Q78" s="197"/>
      <c r="R78" s="17"/>
      <c r="S78" s="46"/>
      <c r="T78" s="17"/>
      <c r="U78" s="17"/>
      <c r="V78" s="17"/>
      <c r="W78" s="17"/>
      <c r="X78" s="17"/>
      <c r="Y78" s="17"/>
      <c r="Z78" s="272"/>
      <c r="AA78" s="272"/>
      <c r="AB78" s="272"/>
      <c r="AC78" s="272"/>
      <c r="AD78" s="272"/>
      <c r="AE78" s="272"/>
      <c r="AF78" s="272"/>
      <c r="AG78" s="272"/>
      <c r="AH78" s="272"/>
      <c r="AL78" s="208" t="s">
        <v>238</v>
      </c>
    </row>
    <row r="79" spans="2:39" ht="18.75" customHeight="1" x14ac:dyDescent="0.2">
      <c r="B79" s="91"/>
      <c r="C79" s="91"/>
      <c r="D79" s="28" t="s">
        <v>604</v>
      </c>
      <c r="E79" s="28"/>
      <c r="F79" s="28"/>
      <c r="G79" s="28"/>
      <c r="H79" s="28"/>
      <c r="I79" s="28"/>
      <c r="J79" s="28"/>
      <c r="K79" s="28"/>
      <c r="L79" s="28"/>
      <c r="M79" s="28"/>
      <c r="N79" s="28"/>
      <c r="O79" s="28"/>
      <c r="P79" s="28"/>
      <c r="Q79" s="28"/>
      <c r="R79" s="17"/>
      <c r="S79" s="17"/>
      <c r="T79" s="17"/>
      <c r="U79" s="17"/>
      <c r="V79" s="17"/>
      <c r="W79" s="189" t="str">
        <f>IF(AK75=5,"Entsprechendes provisorisches Zertifikat abzugeben","")</f>
        <v/>
      </c>
      <c r="X79" s="17"/>
      <c r="Y79" s="17"/>
      <c r="Z79" s="17"/>
      <c r="AA79" s="17"/>
      <c r="AB79" s="17"/>
      <c r="AC79" s="17"/>
      <c r="AD79" s="17"/>
      <c r="AE79" s="17"/>
      <c r="AF79" s="17"/>
      <c r="AG79" s="17"/>
      <c r="AH79" s="17"/>
      <c r="AL79" s="208" t="s">
        <v>239</v>
      </c>
    </row>
    <row r="80" spans="2:39" ht="18.75" customHeight="1" x14ac:dyDescent="0.2">
      <c r="B80" s="91"/>
      <c r="C80" s="91"/>
      <c r="D80" s="320" t="s">
        <v>437</v>
      </c>
      <c r="E80" s="28"/>
      <c r="F80" s="28"/>
      <c r="G80" s="28"/>
      <c r="H80" s="28"/>
      <c r="I80" s="28"/>
      <c r="J80" s="28"/>
      <c r="K80" s="28"/>
      <c r="L80" s="28"/>
      <c r="M80" s="28"/>
      <c r="N80" s="28"/>
      <c r="O80" s="28"/>
      <c r="P80" s="28"/>
      <c r="Q80" s="28"/>
      <c r="R80" s="17"/>
      <c r="S80" s="17"/>
      <c r="T80" s="17"/>
      <c r="U80" s="17"/>
      <c r="V80" s="17"/>
      <c r="W80" s="189"/>
      <c r="X80" s="17"/>
      <c r="Y80" s="17"/>
      <c r="Z80" s="17"/>
      <c r="AA80" s="17"/>
      <c r="AB80" s="17"/>
      <c r="AC80" s="17"/>
      <c r="AD80" s="17"/>
      <c r="AE80" s="17"/>
      <c r="AF80" s="17"/>
      <c r="AG80" s="17"/>
      <c r="AH80" s="17"/>
      <c r="AL80" s="208" t="s">
        <v>240</v>
      </c>
    </row>
    <row r="81" spans="1:59" ht="18.75" customHeight="1" x14ac:dyDescent="0.2">
      <c r="B81" s="671" t="s">
        <v>690</v>
      </c>
      <c r="C81" s="671"/>
      <c r="D81" s="671"/>
      <c r="E81" s="671"/>
      <c r="F81" s="671"/>
      <c r="G81" s="671"/>
      <c r="H81" s="671"/>
      <c r="I81" s="671"/>
      <c r="J81" s="671"/>
      <c r="K81" s="671"/>
      <c r="L81" s="671"/>
      <c r="M81" s="671"/>
      <c r="N81" s="671"/>
      <c r="O81" s="671"/>
      <c r="P81" s="671"/>
      <c r="Q81" s="671"/>
      <c r="R81" s="671"/>
      <c r="S81" s="671"/>
      <c r="T81" s="671"/>
      <c r="U81" s="671"/>
      <c r="V81" s="671"/>
      <c r="W81" s="671"/>
      <c r="X81" s="671"/>
      <c r="Y81" s="671"/>
      <c r="Z81" s="671"/>
      <c r="AA81" s="671"/>
      <c r="AB81" s="671"/>
      <c r="AC81" s="671"/>
      <c r="AD81" s="671"/>
      <c r="AE81" s="671"/>
      <c r="AF81" s="671"/>
      <c r="AG81" s="671"/>
      <c r="AH81" s="17"/>
      <c r="AL81" s="208" t="s">
        <v>301</v>
      </c>
      <c r="AO81" s="208" t="s">
        <v>502</v>
      </c>
    </row>
    <row r="82" spans="1:59" ht="15.75" customHeight="1" x14ac:dyDescent="0.2">
      <c r="B82" s="671"/>
      <c r="C82" s="671"/>
      <c r="D82" s="671"/>
      <c r="E82" s="671"/>
      <c r="F82" s="671"/>
      <c r="G82" s="671"/>
      <c r="H82" s="671"/>
      <c r="I82" s="671"/>
      <c r="J82" s="671"/>
      <c r="K82" s="671"/>
      <c r="L82" s="671"/>
      <c r="M82" s="671"/>
      <c r="N82" s="671"/>
      <c r="O82" s="671"/>
      <c r="P82" s="671"/>
      <c r="Q82" s="671"/>
      <c r="R82" s="671"/>
      <c r="S82" s="671"/>
      <c r="T82" s="671"/>
      <c r="U82" s="671"/>
      <c r="V82" s="671"/>
      <c r="W82" s="671"/>
      <c r="X82" s="671"/>
      <c r="Y82" s="671"/>
      <c r="Z82" s="671"/>
      <c r="AA82" s="671"/>
      <c r="AB82" s="671"/>
      <c r="AC82" s="671"/>
      <c r="AD82" s="671"/>
      <c r="AE82" s="671"/>
      <c r="AF82" s="671"/>
      <c r="AG82" s="671"/>
      <c r="AH82" s="17"/>
      <c r="AO82" s="208" t="s">
        <v>504</v>
      </c>
    </row>
    <row r="83" spans="1:59" ht="22.5" customHeight="1" x14ac:dyDescent="0.2">
      <c r="A83" s="380"/>
      <c r="B83" s="98" t="s">
        <v>438</v>
      </c>
      <c r="C83" s="28"/>
      <c r="D83" s="28"/>
      <c r="E83" s="28"/>
      <c r="F83" s="28"/>
      <c r="G83" s="28"/>
      <c r="H83" s="28"/>
      <c r="I83" s="28"/>
      <c r="J83" s="28"/>
      <c r="K83" s="28"/>
      <c r="L83" s="28"/>
      <c r="M83" s="119"/>
      <c r="N83" s="28"/>
      <c r="O83" s="120"/>
      <c r="P83" s="120"/>
      <c r="Q83" s="28"/>
      <c r="R83" s="28"/>
      <c r="S83" s="98" t="s">
        <v>439</v>
      </c>
      <c r="T83" s="17"/>
      <c r="U83" s="17"/>
      <c r="V83" s="17"/>
      <c r="W83" s="17"/>
      <c r="X83" s="17"/>
      <c r="Y83" s="17"/>
      <c r="Z83" s="17"/>
      <c r="AA83" s="17"/>
      <c r="AB83" s="17"/>
      <c r="AC83" s="17"/>
      <c r="AD83" s="17"/>
      <c r="AE83" s="17"/>
      <c r="AF83" s="17"/>
      <c r="AG83" s="17"/>
      <c r="AH83" s="28"/>
      <c r="AO83" s="208" t="s">
        <v>552</v>
      </c>
    </row>
    <row r="84" spans="1:59" ht="15.75" customHeight="1" x14ac:dyDescent="0.2">
      <c r="B84" s="28" t="s">
        <v>536</v>
      </c>
      <c r="C84" s="28"/>
      <c r="D84" s="28"/>
      <c r="E84" s="28"/>
      <c r="F84" s="28"/>
      <c r="G84" s="28"/>
      <c r="H84" s="28"/>
      <c r="I84" s="28"/>
      <c r="J84" s="28"/>
      <c r="K84" s="28"/>
      <c r="L84" s="28"/>
      <c r="M84" s="28"/>
      <c r="N84" s="673"/>
      <c r="O84" s="673"/>
      <c r="P84" s="673"/>
      <c r="Q84" s="337" t="s">
        <v>328</v>
      </c>
      <c r="R84" s="182"/>
      <c r="S84" s="28" t="s">
        <v>536</v>
      </c>
      <c r="T84" s="28"/>
      <c r="U84" s="28"/>
      <c r="V84" s="28"/>
      <c r="W84" s="28"/>
      <c r="X84" s="28"/>
      <c r="Y84" s="28"/>
      <c r="Z84" s="28"/>
      <c r="AA84" s="28"/>
      <c r="AB84" s="28"/>
      <c r="AC84" s="251"/>
      <c r="AD84" s="251"/>
      <c r="AE84" s="673"/>
      <c r="AF84" s="673"/>
      <c r="AG84" s="337" t="s">
        <v>328</v>
      </c>
      <c r="AH84" s="28"/>
      <c r="AO84" s="208" t="s">
        <v>503</v>
      </c>
    </row>
    <row r="85" spans="1:59" ht="15.75" customHeight="1" x14ac:dyDescent="0.2">
      <c r="B85" s="282"/>
      <c r="C85" s="114"/>
      <c r="D85" s="114"/>
      <c r="E85" s="114"/>
      <c r="F85" s="114"/>
      <c r="G85" s="114"/>
      <c r="H85" s="114"/>
      <c r="I85" s="114"/>
      <c r="J85" s="114"/>
      <c r="K85" s="114"/>
      <c r="L85" s="274"/>
      <c r="M85" s="274"/>
      <c r="N85" s="115"/>
      <c r="O85" s="115"/>
      <c r="Q85" s="99"/>
      <c r="R85" s="182"/>
      <c r="S85" s="282"/>
      <c r="T85" s="114"/>
      <c r="U85" s="114"/>
      <c r="V85" s="114"/>
      <c r="W85" s="114"/>
      <c r="X85" s="114"/>
      <c r="Y85" s="114"/>
      <c r="Z85" s="114"/>
      <c r="AA85" s="114"/>
      <c r="AB85" s="114"/>
      <c r="AC85" s="274"/>
      <c r="AD85" s="274"/>
      <c r="AE85" s="315"/>
      <c r="AF85" s="315"/>
      <c r="AG85" s="338"/>
      <c r="AH85" s="28"/>
    </row>
    <row r="86" spans="1:59" ht="15.75" customHeight="1" x14ac:dyDescent="0.2">
      <c r="B86" s="35" t="s">
        <v>442</v>
      </c>
      <c r="C86" s="114"/>
      <c r="D86" s="114"/>
      <c r="E86" s="114"/>
      <c r="F86" s="114"/>
      <c r="G86" s="114"/>
      <c r="H86" s="114"/>
      <c r="I86" s="114"/>
      <c r="J86" s="114"/>
      <c r="K86" s="114"/>
      <c r="L86" s="274"/>
      <c r="M86" s="274"/>
      <c r="N86" s="602">
        <f>IF(N84*1000=0,0,N84*1000)</f>
        <v>0</v>
      </c>
      <c r="O86" s="602"/>
      <c r="P86" s="602"/>
      <c r="Q86" s="337" t="s">
        <v>45</v>
      </c>
      <c r="R86" s="182"/>
      <c r="S86" s="35" t="s">
        <v>442</v>
      </c>
      <c r="T86" s="114"/>
      <c r="U86" s="114"/>
      <c r="V86" s="114"/>
      <c r="W86" s="114"/>
      <c r="X86" s="114"/>
      <c r="Y86" s="114"/>
      <c r="Z86" s="114"/>
      <c r="AA86" s="114"/>
      <c r="AB86" s="114"/>
      <c r="AC86" s="274"/>
      <c r="AD86" s="274"/>
      <c r="AE86" s="668">
        <f>IF(AE84*1000=0,0,AE84*1000)</f>
        <v>0</v>
      </c>
      <c r="AF86" s="668"/>
      <c r="AG86" s="337" t="s">
        <v>45</v>
      </c>
      <c r="AH86" s="26"/>
    </row>
    <row r="87" spans="1:59" ht="15.75" customHeight="1" x14ac:dyDescent="0.25">
      <c r="B87" s="35" t="s">
        <v>602</v>
      </c>
      <c r="C87" s="28"/>
      <c r="D87" s="196"/>
      <c r="E87" s="196"/>
      <c r="F87" s="196"/>
      <c r="G87" s="196"/>
      <c r="H87" s="148"/>
      <c r="I87" s="148"/>
      <c r="J87" s="148"/>
      <c r="K87" s="148"/>
      <c r="L87" s="196"/>
      <c r="M87" s="196"/>
      <c r="N87" s="603"/>
      <c r="O87" s="603"/>
      <c r="P87" s="603"/>
      <c r="Q87" s="337" t="s">
        <v>45</v>
      </c>
      <c r="R87" s="182"/>
      <c r="S87" s="35" t="s">
        <v>603</v>
      </c>
      <c r="T87" s="28"/>
      <c r="U87" s="196"/>
      <c r="V87" s="196"/>
      <c r="W87" s="196"/>
      <c r="X87" s="196"/>
      <c r="Y87" s="148"/>
      <c r="Z87" s="148"/>
      <c r="AA87" s="148"/>
      <c r="AB87" s="148"/>
      <c r="AC87" s="196"/>
      <c r="AD87" s="196"/>
      <c r="AE87" s="603"/>
      <c r="AF87" s="603"/>
      <c r="AG87" s="337" t="s">
        <v>45</v>
      </c>
      <c r="AH87" s="204"/>
      <c r="AK87" s="208" t="s">
        <v>47</v>
      </c>
      <c r="AL87" s="208" t="s">
        <v>226</v>
      </c>
      <c r="AO87" s="208" t="s">
        <v>502</v>
      </c>
      <c r="AW87" s="382" t="s">
        <v>611</v>
      </c>
      <c r="AX87" s="383"/>
      <c r="AY87" s="383"/>
      <c r="AZ87" s="383"/>
      <c r="BA87" s="383"/>
      <c r="BB87" s="383"/>
      <c r="BC87" s="383"/>
      <c r="BD87" s="384"/>
      <c r="BE87" s="384"/>
      <c r="BF87" s="384"/>
      <c r="BG87" s="385"/>
    </row>
    <row r="88" spans="1:59" ht="15.75" customHeight="1" x14ac:dyDescent="0.2">
      <c r="B88" s="28"/>
      <c r="C88" s="189" t="str">
        <f>IF(N84&gt;0,"EN-VS-110 ist einzureichen","")</f>
        <v/>
      </c>
      <c r="D88" s="28"/>
      <c r="E88" s="28"/>
      <c r="F88" s="28"/>
      <c r="G88" s="28"/>
      <c r="H88" s="28"/>
      <c r="I88" s="43"/>
      <c r="J88" s="43"/>
      <c r="K88" s="43"/>
      <c r="L88" s="43"/>
      <c r="M88" s="43"/>
      <c r="N88" s="43"/>
      <c r="O88" s="28"/>
      <c r="P88" s="624"/>
      <c r="Q88" s="624"/>
      <c r="R88" s="26"/>
      <c r="S88" s="28"/>
      <c r="T88" s="17"/>
      <c r="U88" s="17"/>
      <c r="V88" s="33"/>
      <c r="W88" s="33"/>
      <c r="X88" s="33"/>
      <c r="Y88" s="17"/>
      <c r="Z88" s="17"/>
      <c r="AA88" s="17"/>
      <c r="AB88" s="17"/>
      <c r="AC88" s="17"/>
      <c r="AD88" s="17"/>
      <c r="AE88" s="17"/>
      <c r="AF88" s="17"/>
      <c r="AG88" s="17"/>
      <c r="AH88" s="17"/>
      <c r="AJ88" s="205"/>
      <c r="AK88" s="208">
        <f>IF(OR(N86&lt;&gt;0,N87&lt;&gt;0),IF(N87&lt;&gt;0,N87,N86),0)</f>
        <v>0</v>
      </c>
      <c r="AL88" s="208">
        <f>IF(AE87&lt;&gt;0,AE87,AE86)</f>
        <v>0</v>
      </c>
      <c r="AO88" s="208" t="s">
        <v>505</v>
      </c>
      <c r="AP88" s="208">
        <v>1</v>
      </c>
      <c r="AQ88" s="208">
        <v>3.1</v>
      </c>
      <c r="AR88" s="208" t="s">
        <v>326</v>
      </c>
      <c r="AW88" s="386"/>
      <c r="AX88" s="387"/>
      <c r="AY88" s="387"/>
      <c r="AZ88" s="387"/>
      <c r="BA88" s="387"/>
      <c r="BB88" s="387" t="s">
        <v>612</v>
      </c>
      <c r="BC88" s="387" t="s">
        <v>613</v>
      </c>
      <c r="BD88" s="387">
        <f>VLOOKUP(B115,AO86:AP107,2,FALSE)</f>
        <v>0</v>
      </c>
      <c r="BE88" s="387"/>
      <c r="BF88" s="388"/>
      <c r="BG88" s="389"/>
    </row>
    <row r="89" spans="1:59" ht="15.75" customHeight="1" x14ac:dyDescent="0.2">
      <c r="B89" s="28"/>
      <c r="C89" s="189"/>
      <c r="D89" s="28"/>
      <c r="E89" s="28"/>
      <c r="F89" s="28"/>
      <c r="G89" s="28"/>
      <c r="H89" s="28"/>
      <c r="I89" s="43"/>
      <c r="J89" s="43"/>
      <c r="K89" s="43"/>
      <c r="L89" s="43"/>
      <c r="M89" s="43"/>
      <c r="N89" s="43"/>
      <c r="O89" s="28"/>
      <c r="P89" s="200"/>
      <c r="Q89" s="200"/>
      <c r="R89" s="26"/>
      <c r="S89" s="28"/>
      <c r="T89" s="30"/>
      <c r="U89" s="28"/>
      <c r="V89" s="17"/>
      <c r="W89" s="17"/>
      <c r="X89" s="17"/>
      <c r="Y89" s="17"/>
      <c r="Z89" s="17"/>
      <c r="AA89" s="209"/>
      <c r="AB89" s="28"/>
      <c r="AC89" s="251"/>
      <c r="AD89" s="251"/>
      <c r="AE89" s="251"/>
      <c r="AF89" s="251"/>
      <c r="AG89" s="251"/>
      <c r="AH89" s="17"/>
      <c r="AO89" s="208" t="s">
        <v>506</v>
      </c>
      <c r="AP89" s="208">
        <v>1</v>
      </c>
      <c r="AQ89" s="208">
        <v>3.2</v>
      </c>
      <c r="AW89" s="386"/>
      <c r="AX89" s="387"/>
      <c r="AY89" s="387"/>
      <c r="AZ89" s="387"/>
      <c r="BA89" s="387"/>
      <c r="BB89" s="387"/>
      <c r="BC89" s="387" t="s">
        <v>614</v>
      </c>
      <c r="BD89" s="387">
        <f>N101*N119</f>
        <v>0</v>
      </c>
      <c r="BE89" s="387" t="s">
        <v>328</v>
      </c>
      <c r="BF89" s="388"/>
      <c r="BG89" s="389"/>
    </row>
    <row r="90" spans="1:59" ht="15.75" customHeight="1" x14ac:dyDescent="0.2">
      <c r="B90" s="28"/>
      <c r="C90" s="189"/>
      <c r="D90" s="28"/>
      <c r="E90" s="28"/>
      <c r="F90" s="28"/>
      <c r="G90" s="28"/>
      <c r="H90" s="28"/>
      <c r="I90" s="43"/>
      <c r="J90" s="43"/>
      <c r="K90" s="43"/>
      <c r="L90" s="43"/>
      <c r="M90" s="43"/>
      <c r="N90" s="43"/>
      <c r="O90" s="28"/>
      <c r="P90" s="200"/>
      <c r="Q90" s="200"/>
      <c r="R90" s="26"/>
      <c r="S90" s="28"/>
      <c r="T90" s="30"/>
      <c r="U90" s="28"/>
      <c r="V90" s="17"/>
      <c r="W90" s="17"/>
      <c r="X90" s="17"/>
      <c r="Y90" s="17"/>
      <c r="Z90" s="17"/>
      <c r="AA90" s="44" t="s">
        <v>443</v>
      </c>
      <c r="AB90" s="28"/>
      <c r="AC90" s="495">
        <f>IFERROR(IF(OR(AK75=2,AK75=4,AK75=6),AK88+AL88,0),0)</f>
        <v>0</v>
      </c>
      <c r="AD90" s="495"/>
      <c r="AE90" s="495"/>
      <c r="AF90" s="496" t="s">
        <v>45</v>
      </c>
      <c r="AG90" s="496"/>
      <c r="AH90" s="17"/>
      <c r="AK90" s="208" t="s">
        <v>385</v>
      </c>
      <c r="AO90" s="208" t="s">
        <v>507</v>
      </c>
      <c r="AP90" s="208">
        <v>1</v>
      </c>
      <c r="AQ90" s="208">
        <v>3.3</v>
      </c>
      <c r="AW90" s="386"/>
      <c r="AX90" s="387"/>
      <c r="AY90" s="387"/>
      <c r="AZ90" s="387"/>
      <c r="BA90" s="387"/>
      <c r="BB90" s="387"/>
      <c r="BC90" s="387" t="s">
        <v>615</v>
      </c>
      <c r="BD90" s="387" t="e">
        <f>VLOOKUP(2,BF95:BG130,2,FALSE)</f>
        <v>#N/A</v>
      </c>
      <c r="BE90" s="387"/>
      <c r="BF90" s="388"/>
      <c r="BG90" s="389"/>
    </row>
    <row r="91" spans="1:59" ht="15.75" customHeight="1" x14ac:dyDescent="0.2">
      <c r="A91" s="28"/>
      <c r="B91" s="45"/>
      <c r="C91" s="45"/>
      <c r="D91" s="202"/>
      <c r="E91" s="45"/>
      <c r="F91" s="45"/>
      <c r="G91" s="45"/>
      <c r="H91" s="45"/>
      <c r="I91" s="45"/>
      <c r="J91" s="45"/>
      <c r="K91" s="45"/>
      <c r="L91" s="45"/>
      <c r="M91" s="45"/>
      <c r="N91" s="45"/>
      <c r="O91" s="201"/>
      <c r="P91" s="201"/>
      <c r="Q91" s="201"/>
      <c r="R91" s="201"/>
      <c r="S91" s="201"/>
      <c r="T91" s="201"/>
      <c r="U91" s="201"/>
      <c r="V91" s="201"/>
      <c r="W91" s="201"/>
      <c r="X91" s="201"/>
      <c r="Y91" s="201"/>
      <c r="Z91" s="201"/>
      <c r="AA91" s="201"/>
      <c r="AB91" s="201"/>
      <c r="AC91" s="201"/>
      <c r="AD91" s="201"/>
      <c r="AE91" s="201"/>
      <c r="AF91" s="201"/>
      <c r="AG91" s="201"/>
      <c r="AH91" s="201"/>
      <c r="AK91" s="208">
        <f>IF(N87&lt;&gt;0,N87,0)</f>
        <v>0</v>
      </c>
      <c r="AL91" s="208">
        <f>IF(AE87&lt;&gt;0,AE87,0)</f>
        <v>0</v>
      </c>
      <c r="AO91" s="208" t="s">
        <v>508</v>
      </c>
      <c r="AP91" s="208">
        <v>1</v>
      </c>
      <c r="AQ91" s="208">
        <v>3.5</v>
      </c>
      <c r="AW91" s="386"/>
      <c r="AX91" s="387"/>
      <c r="AY91" s="387"/>
      <c r="AZ91" s="387"/>
      <c r="BA91" s="387"/>
      <c r="BB91" s="387"/>
      <c r="BC91" s="387"/>
      <c r="BD91" s="388"/>
      <c r="BE91" s="388"/>
      <c r="BF91" s="388"/>
      <c r="BG91" s="389"/>
    </row>
    <row r="92" spans="1:59" ht="12.75" x14ac:dyDescent="0.2">
      <c r="B92" s="28"/>
      <c r="C92" s="28"/>
      <c r="D92" s="28"/>
      <c r="E92" s="28"/>
      <c r="F92" s="28"/>
      <c r="G92" s="28"/>
      <c r="H92" s="28"/>
      <c r="I92" s="28"/>
      <c r="J92" s="28"/>
      <c r="K92" s="28"/>
      <c r="L92" s="28"/>
      <c r="M92" s="28"/>
      <c r="N92" s="28"/>
      <c r="O92" s="28"/>
      <c r="P92" s="28"/>
      <c r="Q92" s="28"/>
      <c r="R92" s="28"/>
      <c r="S92" s="28"/>
      <c r="T92" s="28"/>
      <c r="U92" s="28"/>
      <c r="V92" s="289"/>
      <c r="W92" s="28"/>
      <c r="X92" s="28"/>
      <c r="Y92" s="28"/>
      <c r="Z92" s="28"/>
      <c r="AA92" s="28"/>
      <c r="AB92" s="28"/>
      <c r="AC92" s="28"/>
      <c r="AD92" s="28"/>
      <c r="AE92" s="28"/>
      <c r="AF92" s="28"/>
      <c r="AG92" s="28"/>
      <c r="AH92" s="28"/>
      <c r="AO92" s="208" t="s">
        <v>509</v>
      </c>
      <c r="AP92" s="208">
        <v>1</v>
      </c>
      <c r="AQ92" s="208">
        <v>3.7</v>
      </c>
      <c r="AW92" s="386"/>
      <c r="AX92" s="387"/>
      <c r="AY92" s="387"/>
      <c r="AZ92" s="387"/>
      <c r="BA92" s="387"/>
      <c r="BB92" s="387"/>
      <c r="BC92" s="387"/>
      <c r="BD92" s="388"/>
      <c r="BE92" s="388"/>
      <c r="BF92" s="388"/>
      <c r="BG92" s="389"/>
    </row>
    <row r="93" spans="1:59" ht="15.75" x14ac:dyDescent="0.2">
      <c r="B93" s="34" t="s">
        <v>142</v>
      </c>
      <c r="C93" s="18"/>
      <c r="D93" s="615" t="s">
        <v>444</v>
      </c>
      <c r="E93" s="615"/>
      <c r="F93" s="615"/>
      <c r="G93" s="615"/>
      <c r="H93" s="615"/>
      <c r="I93" s="615"/>
      <c r="J93" s="615"/>
      <c r="K93" s="615"/>
      <c r="L93" s="615"/>
      <c r="M93" s="615"/>
      <c r="N93" s="615"/>
      <c r="O93" s="615"/>
      <c r="P93" s="615"/>
      <c r="Q93" s="615"/>
      <c r="R93" s="615"/>
      <c r="S93" s="615"/>
      <c r="T93" s="615"/>
      <c r="U93" s="615"/>
      <c r="V93" s="616"/>
      <c r="W93" s="55"/>
      <c r="X93" s="56"/>
      <c r="Y93" s="56"/>
      <c r="Z93" s="56"/>
      <c r="AA93" s="56"/>
      <c r="AB93" s="56"/>
      <c r="AC93" s="56"/>
      <c r="AD93" s="28"/>
      <c r="AE93" s="78"/>
      <c r="AF93" s="78"/>
      <c r="AG93" s="78"/>
      <c r="AH93" s="73"/>
      <c r="AW93" s="386"/>
      <c r="AX93" s="387"/>
      <c r="AY93" s="387"/>
      <c r="AZ93" s="387"/>
      <c r="BA93" s="387"/>
      <c r="BB93" s="387"/>
      <c r="BC93" s="387"/>
      <c r="BD93" s="388"/>
      <c r="BE93" s="388"/>
      <c r="BF93" s="388"/>
      <c r="BG93" s="389"/>
    </row>
    <row r="94" spans="1:59" ht="15.75" x14ac:dyDescent="0.25">
      <c r="B94" s="34"/>
      <c r="C94" s="18"/>
      <c r="D94" s="615"/>
      <c r="E94" s="615"/>
      <c r="F94" s="615"/>
      <c r="G94" s="615"/>
      <c r="H94" s="615"/>
      <c r="I94" s="615"/>
      <c r="J94" s="615"/>
      <c r="K94" s="615"/>
      <c r="L94" s="615"/>
      <c r="M94" s="615"/>
      <c r="N94" s="615"/>
      <c r="O94" s="615"/>
      <c r="P94" s="615"/>
      <c r="Q94" s="615"/>
      <c r="R94" s="615"/>
      <c r="S94" s="615"/>
      <c r="T94" s="615"/>
      <c r="U94" s="615"/>
      <c r="V94" s="616"/>
      <c r="W94" s="55"/>
      <c r="X94" s="56"/>
      <c r="Y94" s="56"/>
      <c r="Z94" s="56"/>
      <c r="AA94" s="56"/>
      <c r="AB94" s="56"/>
      <c r="AC94" s="56"/>
      <c r="AE94" s="78"/>
      <c r="AF94" s="78"/>
      <c r="AG94" s="78"/>
      <c r="AH94" s="73"/>
      <c r="AW94" s="484" t="s">
        <v>616</v>
      </c>
      <c r="AX94" s="485"/>
      <c r="AY94" s="485"/>
      <c r="AZ94" s="485"/>
      <c r="BA94" s="485"/>
      <c r="BB94" s="485"/>
      <c r="BC94" s="485"/>
      <c r="BD94" s="486" t="s">
        <v>617</v>
      </c>
      <c r="BE94" s="486"/>
      <c r="BF94" s="486"/>
      <c r="BG94" s="487"/>
    </row>
    <row r="95" spans="1:59" ht="15.75" customHeight="1" thickBot="1" x14ac:dyDescent="0.3">
      <c r="B95" s="135" t="s">
        <v>605</v>
      </c>
      <c r="C95" s="136"/>
      <c r="D95" s="136"/>
      <c r="E95" s="136"/>
      <c r="F95" s="136"/>
      <c r="G95" s="136"/>
      <c r="H95" s="136"/>
      <c r="I95" s="136"/>
      <c r="J95" s="136"/>
      <c r="K95" s="136"/>
      <c r="L95" s="136"/>
      <c r="M95" s="136"/>
      <c r="N95" s="136"/>
      <c r="O95" s="14"/>
      <c r="P95" s="14"/>
      <c r="Q95" s="14"/>
      <c r="R95" s="14"/>
      <c r="S95" s="136"/>
      <c r="T95" s="288"/>
      <c r="U95" s="288"/>
      <c r="V95" s="195"/>
      <c r="W95" s="55"/>
      <c r="X95" s="56"/>
      <c r="Y95" s="56"/>
      <c r="Z95" s="56"/>
      <c r="AA95" s="56"/>
      <c r="AB95" s="56"/>
      <c r="AC95" s="56"/>
      <c r="AD95" s="56"/>
      <c r="AE95" s="56"/>
      <c r="AF95" s="56"/>
      <c r="AG95" s="56"/>
      <c r="AH95" s="55"/>
      <c r="AO95" s="208" t="s">
        <v>502</v>
      </c>
      <c r="AW95" s="390" t="s">
        <v>618</v>
      </c>
      <c r="AX95" s="388" t="s">
        <v>619</v>
      </c>
      <c r="AY95" s="387" t="s">
        <v>620</v>
      </c>
      <c r="AZ95" s="387" t="s">
        <v>621</v>
      </c>
      <c r="BA95" s="387" t="s">
        <v>622</v>
      </c>
      <c r="BB95" s="387" t="s">
        <v>623</v>
      </c>
      <c r="BC95" s="381"/>
      <c r="BD95" s="391" t="s">
        <v>624</v>
      </c>
      <c r="BE95" s="391" t="s">
        <v>625</v>
      </c>
      <c r="BF95" s="391" t="s">
        <v>626</v>
      </c>
      <c r="BG95" s="392" t="s">
        <v>627</v>
      </c>
    </row>
    <row r="96" spans="1:59" ht="15.75" customHeight="1" x14ac:dyDescent="0.25">
      <c r="B96" s="57"/>
      <c r="C96" s="57"/>
      <c r="D96" s="57"/>
      <c r="E96" s="57"/>
      <c r="F96" s="57"/>
      <c r="G96" s="57"/>
      <c r="H96" s="57"/>
      <c r="I96" s="57"/>
      <c r="J96" s="57"/>
      <c r="K96" s="57"/>
      <c r="L96" s="57"/>
      <c r="M96" s="57"/>
      <c r="N96" s="57"/>
      <c r="O96" s="57"/>
      <c r="P96" s="54"/>
      <c r="Q96" s="54"/>
      <c r="R96" s="54"/>
      <c r="S96" s="54"/>
      <c r="T96" s="54"/>
      <c r="U96" s="54"/>
      <c r="V96" s="54"/>
      <c r="W96" s="55"/>
      <c r="X96" s="56"/>
      <c r="Y96" s="56"/>
      <c r="Z96" s="56"/>
      <c r="AA96" s="56"/>
      <c r="AB96" s="56"/>
      <c r="AC96" s="56"/>
      <c r="AD96" s="56"/>
      <c r="AE96" s="56"/>
      <c r="AF96" s="17"/>
      <c r="AG96" s="56"/>
      <c r="AH96" s="55"/>
      <c r="AO96" s="208" t="s">
        <v>510</v>
      </c>
      <c r="AP96" s="208">
        <v>2</v>
      </c>
      <c r="AQ96" s="208">
        <v>3.85</v>
      </c>
      <c r="AR96" s="208" t="s">
        <v>324</v>
      </c>
      <c r="AW96" s="390">
        <v>1</v>
      </c>
      <c r="AX96" s="388">
        <v>12</v>
      </c>
      <c r="AY96" s="387">
        <v>3.1</v>
      </c>
      <c r="AZ96" s="387"/>
      <c r="BA96" s="387"/>
      <c r="BB96" s="399"/>
      <c r="BC96" s="381" t="s">
        <v>628</v>
      </c>
      <c r="BD96" s="391">
        <f t="shared" ref="BD96:BD130" si="0">IF($BD$88=AW96,1,0)</f>
        <v>0</v>
      </c>
      <c r="BE96" s="391">
        <f>IF(BD89&lt;12,1,0)</f>
        <v>1</v>
      </c>
      <c r="BF96" s="391">
        <f>BD96+BE96</f>
        <v>1</v>
      </c>
      <c r="BG96" s="393">
        <v>3.1</v>
      </c>
    </row>
    <row r="97" spans="1:59" ht="15.75" x14ac:dyDescent="0.25">
      <c r="B97" s="198"/>
      <c r="C97" s="28" t="s">
        <v>537</v>
      </c>
      <c r="D97" s="28"/>
      <c r="E97" s="28"/>
      <c r="F97" s="28"/>
      <c r="G97" s="63"/>
      <c r="H97" s="63"/>
      <c r="I97" s="63"/>
      <c r="J97" s="32"/>
      <c r="K97" s="18"/>
      <c r="L97" s="198"/>
      <c r="M97" s="198"/>
      <c r="N97" s="670"/>
      <c r="O97" s="670"/>
      <c r="P97" s="670"/>
      <c r="Q97" s="144" t="s">
        <v>329</v>
      </c>
      <c r="R97" s="28"/>
      <c r="S97" s="28"/>
      <c r="T97" s="54"/>
      <c r="U97" s="28" t="s">
        <v>551</v>
      </c>
      <c r="V97" s="57"/>
      <c r="W97" s="55"/>
      <c r="X97" s="53"/>
      <c r="Y97" s="54"/>
      <c r="Z97" s="58"/>
      <c r="AA97" s="56"/>
      <c r="AB97" s="56"/>
      <c r="AC97" s="56"/>
      <c r="AD97" s="56"/>
      <c r="AE97" s="56"/>
      <c r="AF97" s="56"/>
      <c r="AG97" s="56"/>
      <c r="AH97" s="55"/>
      <c r="AI97" s="54"/>
      <c r="AO97" s="208" t="s">
        <v>511</v>
      </c>
      <c r="AP97" s="208">
        <v>2</v>
      </c>
      <c r="AQ97" s="208">
        <v>4.25</v>
      </c>
      <c r="AW97" s="390">
        <v>1</v>
      </c>
      <c r="AX97" s="388"/>
      <c r="AY97" s="387"/>
      <c r="AZ97" s="387"/>
      <c r="BA97" s="387"/>
      <c r="BB97" s="399"/>
      <c r="BC97" s="381" t="s">
        <v>629</v>
      </c>
      <c r="BD97" s="391">
        <f t="shared" si="0"/>
        <v>0</v>
      </c>
      <c r="BE97" s="391">
        <f>IF(BD89=12,1,0)</f>
        <v>0</v>
      </c>
      <c r="BF97" s="391">
        <f t="shared" ref="BF97:BF130" si="1">BD97+BE97</f>
        <v>0</v>
      </c>
      <c r="BG97" s="393">
        <v>3.1</v>
      </c>
    </row>
    <row r="98" spans="1:59" s="208" customFormat="1" ht="15.75" customHeight="1" x14ac:dyDescent="0.25">
      <c r="A98" s="62"/>
      <c r="B98" s="198"/>
      <c r="C98" s="28"/>
      <c r="D98" s="28"/>
      <c r="E98" s="28"/>
      <c r="F98" s="28"/>
      <c r="G98" s="63"/>
      <c r="H98" s="63"/>
      <c r="I98" s="63"/>
      <c r="J98" s="32"/>
      <c r="K98" s="18"/>
      <c r="L98" s="198"/>
      <c r="M98" s="198"/>
      <c r="N98" s="198"/>
      <c r="O98" s="28"/>
      <c r="P98" s="28"/>
      <c r="Q98" s="28"/>
      <c r="R98" s="64"/>
      <c r="S98" s="64"/>
      <c r="T98" s="65"/>
      <c r="U98" s="59"/>
      <c r="V98" s="57"/>
      <c r="W98" s="55"/>
      <c r="X98" s="60"/>
      <c r="Y98" s="54"/>
      <c r="Z98" s="58"/>
      <c r="AA98" s="56"/>
      <c r="AB98" s="56"/>
      <c r="AC98" s="56"/>
      <c r="AD98" s="56"/>
      <c r="AE98" s="56"/>
      <c r="AF98" s="56"/>
      <c r="AG98" s="56"/>
      <c r="AH98" s="55"/>
      <c r="AI98" s="54"/>
      <c r="AJ98" s="53"/>
      <c r="AK98" s="208" t="b">
        <v>0</v>
      </c>
      <c r="AO98" s="208" t="s">
        <v>512</v>
      </c>
      <c r="AP98" s="208">
        <v>2</v>
      </c>
      <c r="AQ98" s="208">
        <v>4.6500000000000004</v>
      </c>
      <c r="AW98" s="390">
        <v>1</v>
      </c>
      <c r="AX98" s="388">
        <v>100</v>
      </c>
      <c r="AY98" s="387">
        <v>3.2</v>
      </c>
      <c r="AZ98" s="387">
        <f>AX98-AX96</f>
        <v>88</v>
      </c>
      <c r="BA98" s="387">
        <f>AY98-AY96</f>
        <v>0.10000000000000009</v>
      </c>
      <c r="BB98" s="399">
        <f>BA98/AZ98</f>
        <v>1.1363636363636374E-3</v>
      </c>
      <c r="BC98" s="381" t="s">
        <v>630</v>
      </c>
      <c r="BD98" s="391">
        <f t="shared" si="0"/>
        <v>0</v>
      </c>
      <c r="BE98" s="391">
        <f>IF(AND(BD89&gt;12,BD89&lt;100),1,0)</f>
        <v>0</v>
      </c>
      <c r="BF98" s="391">
        <f t="shared" si="1"/>
        <v>0</v>
      </c>
      <c r="BG98" s="393">
        <f>AY96+(($BD$89-AX96)*BA98/AZ98)</f>
        <v>3.0863636363636364</v>
      </c>
    </row>
    <row r="99" spans="1:59" s="208" customFormat="1" ht="15.75" customHeight="1" x14ac:dyDescent="0.25">
      <c r="A99" s="62"/>
      <c r="B99" s="198"/>
      <c r="C99" s="28"/>
      <c r="D99" s="28"/>
      <c r="E99" s="28"/>
      <c r="F99" s="28"/>
      <c r="G99" s="63"/>
      <c r="H99" s="63"/>
      <c r="I99" s="63"/>
      <c r="J99" s="32"/>
      <c r="K99" s="18"/>
      <c r="L99" s="198"/>
      <c r="M99" s="198"/>
      <c r="N99" s="198"/>
      <c r="O99" s="28"/>
      <c r="P99" s="28"/>
      <c r="Q99" s="28"/>
      <c r="R99" s="64"/>
      <c r="S99" s="64"/>
      <c r="T99" s="65"/>
      <c r="U99" s="59"/>
      <c r="V99" s="57"/>
      <c r="W99" s="55"/>
      <c r="X99" s="60"/>
      <c r="Y99" s="54"/>
      <c r="Z99" s="58"/>
      <c r="AA99" s="56"/>
      <c r="AB99" s="56"/>
      <c r="AC99" s="56"/>
      <c r="AD99" s="56"/>
      <c r="AE99" s="56"/>
      <c r="AF99" s="56"/>
      <c r="AG99" s="56"/>
      <c r="AH99" s="55"/>
      <c r="AI99" s="54"/>
      <c r="AJ99" s="53"/>
      <c r="AO99" s="208" t="s">
        <v>513</v>
      </c>
      <c r="AP99" s="208">
        <v>2</v>
      </c>
      <c r="AQ99" s="208">
        <v>5.05</v>
      </c>
      <c r="AW99" s="390">
        <v>1</v>
      </c>
      <c r="AX99" s="388"/>
      <c r="AY99" s="387"/>
      <c r="AZ99" s="387"/>
      <c r="BA99" s="387"/>
      <c r="BB99" s="399"/>
      <c r="BC99" s="381" t="s">
        <v>631</v>
      </c>
      <c r="BD99" s="391">
        <f t="shared" si="0"/>
        <v>0</v>
      </c>
      <c r="BE99" s="391">
        <f>IF(BD89=100,1,0)</f>
        <v>0</v>
      </c>
      <c r="BF99" s="391">
        <f t="shared" si="1"/>
        <v>0</v>
      </c>
      <c r="BG99" s="393">
        <v>3.2</v>
      </c>
    </row>
    <row r="100" spans="1:59" s="208" customFormat="1" ht="15" x14ac:dyDescent="0.25">
      <c r="A100" s="62"/>
      <c r="B100" s="305" t="s">
        <v>539</v>
      </c>
      <c r="C100" s="306"/>
      <c r="D100" s="306"/>
      <c r="E100" s="306"/>
      <c r="F100" s="306"/>
      <c r="G100" s="306"/>
      <c r="H100" s="306"/>
      <c r="I100" s="306"/>
      <c r="J100" s="306"/>
      <c r="K100" s="306"/>
      <c r="L100" s="306"/>
      <c r="M100" s="307"/>
      <c r="N100" s="306"/>
      <c r="O100" s="308"/>
      <c r="P100" s="308"/>
      <c r="Q100" s="306"/>
      <c r="R100" s="306"/>
      <c r="S100" s="309" t="s">
        <v>445</v>
      </c>
      <c r="T100" s="310"/>
      <c r="U100" s="310"/>
      <c r="V100" s="310"/>
      <c r="W100" s="310"/>
      <c r="X100" s="310"/>
      <c r="Y100" s="310"/>
      <c r="Z100" s="310"/>
      <c r="AA100" s="310"/>
      <c r="AB100" s="310"/>
      <c r="AC100" s="310"/>
      <c r="AD100" s="310"/>
      <c r="AE100" s="310"/>
      <c r="AF100" s="310"/>
      <c r="AG100" s="310"/>
      <c r="AH100" s="306"/>
      <c r="AI100" s="54"/>
      <c r="AJ100" s="53"/>
      <c r="AO100" s="208" t="s">
        <v>514</v>
      </c>
      <c r="AP100" s="208">
        <v>2</v>
      </c>
      <c r="AQ100" s="208">
        <v>5.5</v>
      </c>
      <c r="AW100" s="390">
        <v>1</v>
      </c>
      <c r="AX100" s="388">
        <v>300</v>
      </c>
      <c r="AY100" s="387">
        <v>3.3</v>
      </c>
      <c r="AZ100" s="387">
        <f>AX100-AX98</f>
        <v>200</v>
      </c>
      <c r="BA100" s="387">
        <f>AY100-AY98</f>
        <v>9.9999999999999645E-2</v>
      </c>
      <c r="BB100" s="399">
        <f t="shared" ref="BB100:BB104" si="2">BA100/AZ100</f>
        <v>4.9999999999999828E-4</v>
      </c>
      <c r="BC100" s="381" t="s">
        <v>632</v>
      </c>
      <c r="BD100" s="391">
        <f t="shared" si="0"/>
        <v>0</v>
      </c>
      <c r="BE100" s="391">
        <f>IF(AND(BD89&gt;100,BD89&lt;300),1,0)</f>
        <v>0</v>
      </c>
      <c r="BF100" s="391">
        <f t="shared" si="1"/>
        <v>0</v>
      </c>
      <c r="BG100" s="393">
        <f>AY98+(($BD$89-AX98)*BA100/AZ100)</f>
        <v>3.1500000000000004</v>
      </c>
    </row>
    <row r="101" spans="1:59" s="208" customFormat="1" ht="15.75" customHeight="1" x14ac:dyDescent="0.25">
      <c r="A101" s="62"/>
      <c r="B101" s="28" t="s">
        <v>536</v>
      </c>
      <c r="C101" s="28"/>
      <c r="D101" s="28"/>
      <c r="E101" s="28"/>
      <c r="F101" s="28"/>
      <c r="G101" s="28"/>
      <c r="H101" s="28"/>
      <c r="I101" s="28"/>
      <c r="J101" s="28"/>
      <c r="K101" s="28"/>
      <c r="L101" s="28"/>
      <c r="M101" s="28"/>
      <c r="N101" s="664"/>
      <c r="O101" s="664"/>
      <c r="P101" s="664"/>
      <c r="Q101" s="337" t="s">
        <v>328</v>
      </c>
      <c r="R101" s="182"/>
      <c r="S101" s="292" t="s">
        <v>538</v>
      </c>
      <c r="T101" s="28"/>
      <c r="U101" s="28"/>
      <c r="V101" s="28"/>
      <c r="W101" s="28"/>
      <c r="X101" s="28"/>
      <c r="Y101" s="28"/>
      <c r="Z101" s="28"/>
      <c r="AA101" s="28"/>
      <c r="AB101" s="28"/>
      <c r="AC101" s="251"/>
      <c r="AD101" s="251"/>
      <c r="AE101" s="673"/>
      <c r="AF101" s="673"/>
      <c r="AG101" s="337" t="s">
        <v>328</v>
      </c>
      <c r="AH101" s="28"/>
      <c r="AI101" s="54"/>
      <c r="AJ101" s="53"/>
      <c r="AW101" s="390">
        <v>1</v>
      </c>
      <c r="AX101" s="388"/>
      <c r="AY101" s="387"/>
      <c r="AZ101" s="387"/>
      <c r="BA101" s="387"/>
      <c r="BB101" s="399"/>
      <c r="BC101" s="381" t="s">
        <v>633</v>
      </c>
      <c r="BD101" s="391">
        <f t="shared" si="0"/>
        <v>0</v>
      </c>
      <c r="BE101" s="391">
        <f>IF(BD89=300,1,0)</f>
        <v>0</v>
      </c>
      <c r="BF101" s="391">
        <f t="shared" si="1"/>
        <v>0</v>
      </c>
      <c r="BG101" s="393">
        <v>3.3</v>
      </c>
    </row>
    <row r="102" spans="1:59" s="208" customFormat="1" ht="15.75" customHeight="1" x14ac:dyDescent="0.25">
      <c r="A102" s="62"/>
      <c r="B102" s="282"/>
      <c r="C102" s="114"/>
      <c r="D102" s="114"/>
      <c r="E102" s="114"/>
      <c r="F102" s="114"/>
      <c r="G102" s="114"/>
      <c r="H102" s="114"/>
      <c r="I102" s="114"/>
      <c r="J102" s="114"/>
      <c r="K102" s="114"/>
      <c r="L102" s="274"/>
      <c r="M102" s="274"/>
      <c r="N102" s="339"/>
      <c r="O102" s="339"/>
      <c r="P102" s="266"/>
      <c r="Q102" s="99"/>
      <c r="R102" s="182"/>
      <c r="S102" s="291"/>
      <c r="T102" s="114"/>
      <c r="U102" s="114"/>
      <c r="V102" s="114"/>
      <c r="W102" s="114"/>
      <c r="X102" s="114"/>
      <c r="Y102" s="114"/>
      <c r="Z102" s="114"/>
      <c r="AA102" s="114"/>
      <c r="AB102" s="114"/>
      <c r="AC102" s="274"/>
      <c r="AD102" s="274"/>
      <c r="AE102" s="339"/>
      <c r="AF102" s="339"/>
      <c r="AG102" s="338"/>
      <c r="AH102" s="28"/>
      <c r="AI102" s="54"/>
      <c r="AJ102" s="53"/>
      <c r="AK102" s="208" t="s">
        <v>317</v>
      </c>
      <c r="AL102" s="208" t="s">
        <v>318</v>
      </c>
      <c r="AO102" s="208" t="s">
        <v>502</v>
      </c>
      <c r="AW102" s="390">
        <v>1</v>
      </c>
      <c r="AX102" s="388">
        <v>600</v>
      </c>
      <c r="AY102" s="387">
        <v>3.5</v>
      </c>
      <c r="AZ102" s="387">
        <f>AX102-AX100</f>
        <v>300</v>
      </c>
      <c r="BA102" s="387">
        <f>AY102-AY100</f>
        <v>0.20000000000000018</v>
      </c>
      <c r="BB102" s="399">
        <f t="shared" si="2"/>
        <v>6.6666666666666729E-4</v>
      </c>
      <c r="BC102" s="381" t="s">
        <v>634</v>
      </c>
      <c r="BD102" s="391">
        <f t="shared" si="0"/>
        <v>0</v>
      </c>
      <c r="BE102" s="391">
        <f>IF(AND(BD89&gt;300,BD89&lt;600),1,0)</f>
        <v>0</v>
      </c>
      <c r="BF102" s="391">
        <f t="shared" si="1"/>
        <v>0</v>
      </c>
      <c r="BG102" s="393">
        <f>AY100+(($BD$89-AX100)*BA102/AZ102)</f>
        <v>3.0999999999999996</v>
      </c>
    </row>
    <row r="103" spans="1:59" s="208" customFormat="1" ht="15.75" customHeight="1" x14ac:dyDescent="0.25">
      <c r="A103" s="62"/>
      <c r="B103" s="35" t="s">
        <v>442</v>
      </c>
      <c r="C103" s="114"/>
      <c r="D103" s="114"/>
      <c r="E103" s="114"/>
      <c r="F103" s="114"/>
      <c r="G103" s="114"/>
      <c r="H103" s="114"/>
      <c r="I103" s="114"/>
      <c r="J103" s="114"/>
      <c r="K103" s="114"/>
      <c r="L103" s="274"/>
      <c r="M103" s="274"/>
      <c r="N103" s="602">
        <f>IF(N101*1000=0,0,N101*1000)</f>
        <v>0</v>
      </c>
      <c r="O103" s="602"/>
      <c r="P103" s="602"/>
      <c r="Q103" s="337" t="s">
        <v>45</v>
      </c>
      <c r="R103" s="182"/>
      <c r="S103" s="293" t="s">
        <v>691</v>
      </c>
      <c r="T103" s="114"/>
      <c r="U103" s="114"/>
      <c r="V103" s="114"/>
      <c r="W103" s="114"/>
      <c r="X103" s="114"/>
      <c r="Y103" s="114"/>
      <c r="Z103" s="114"/>
      <c r="AA103" s="114"/>
      <c r="AB103" s="114"/>
      <c r="AC103" s="274"/>
      <c r="AD103" s="274"/>
      <c r="AE103" s="604">
        <f>IF(AE101*1000=0,0,AE101*1000)</f>
        <v>0</v>
      </c>
      <c r="AF103" s="604"/>
      <c r="AG103" s="337" t="s">
        <v>45</v>
      </c>
      <c r="AH103" s="26"/>
      <c r="AI103" s="54"/>
      <c r="AJ103" s="53"/>
      <c r="AK103" s="208">
        <f>IF(N104&lt;&gt;0,N104,N103)</f>
        <v>0</v>
      </c>
      <c r="AL103" s="208">
        <f>IF(AE104&lt;&gt;0,AE104,AE103)</f>
        <v>0</v>
      </c>
      <c r="AO103" s="208" t="s">
        <v>583</v>
      </c>
      <c r="AP103" s="208">
        <v>3</v>
      </c>
      <c r="AQ103" s="208">
        <v>2.9</v>
      </c>
      <c r="AR103" s="208" t="s">
        <v>325</v>
      </c>
      <c r="AW103" s="390">
        <v>1</v>
      </c>
      <c r="AX103" s="388"/>
      <c r="AY103" s="387"/>
      <c r="AZ103" s="387"/>
      <c r="BA103" s="387"/>
      <c r="BB103" s="399"/>
      <c r="BC103" s="381" t="s">
        <v>635</v>
      </c>
      <c r="BD103" s="391">
        <f t="shared" si="0"/>
        <v>0</v>
      </c>
      <c r="BE103" s="391">
        <f>IF(BD89=600,1,0)</f>
        <v>0</v>
      </c>
      <c r="BF103" s="391">
        <f t="shared" si="1"/>
        <v>0</v>
      </c>
      <c r="BG103" s="393">
        <v>3.5</v>
      </c>
    </row>
    <row r="104" spans="1:59" s="208" customFormat="1" ht="15.75" customHeight="1" x14ac:dyDescent="0.25">
      <c r="A104" s="62"/>
      <c r="B104" s="35" t="s">
        <v>606</v>
      </c>
      <c r="C104" s="28"/>
      <c r="D104" s="196"/>
      <c r="E104" s="196"/>
      <c r="F104" s="196"/>
      <c r="G104" s="196"/>
      <c r="H104" s="148"/>
      <c r="I104" s="148"/>
      <c r="J104" s="148"/>
      <c r="K104" s="148"/>
      <c r="L104" s="196"/>
      <c r="M104" s="196"/>
      <c r="N104" s="603"/>
      <c r="O104" s="603"/>
      <c r="P104" s="603"/>
      <c r="Q104" s="337" t="s">
        <v>45</v>
      </c>
      <c r="R104" s="182"/>
      <c r="S104" s="293" t="s">
        <v>692</v>
      </c>
      <c r="T104" s="28"/>
      <c r="U104" s="196"/>
      <c r="V104" s="196"/>
      <c r="W104" s="196"/>
      <c r="X104" s="196"/>
      <c r="Y104" s="148"/>
      <c r="Z104" s="148"/>
      <c r="AA104" s="148"/>
      <c r="AB104" s="148"/>
      <c r="AC104" s="196"/>
      <c r="AD104" s="196"/>
      <c r="AE104" s="603"/>
      <c r="AF104" s="603"/>
      <c r="AG104" s="337" t="s">
        <v>45</v>
      </c>
      <c r="AH104" s="204"/>
      <c r="AI104" s="54"/>
      <c r="AJ104" s="53"/>
      <c r="AK104" s="208" t="s">
        <v>385</v>
      </c>
      <c r="AO104" s="208" t="s">
        <v>515</v>
      </c>
      <c r="AP104" s="208">
        <v>3</v>
      </c>
      <c r="AQ104" s="208">
        <v>3.1</v>
      </c>
      <c r="AW104" s="390">
        <v>1</v>
      </c>
      <c r="AX104" s="388">
        <v>1000</v>
      </c>
      <c r="AY104" s="387">
        <v>3.7</v>
      </c>
      <c r="AZ104" s="387">
        <f t="shared" ref="AZ104:BA104" si="3">AX104-AX102</f>
        <v>400</v>
      </c>
      <c r="BA104" s="387">
        <f t="shared" si="3"/>
        <v>0.20000000000000018</v>
      </c>
      <c r="BB104" s="399">
        <f t="shared" si="2"/>
        <v>5.0000000000000044E-4</v>
      </c>
      <c r="BC104" s="381" t="s">
        <v>636</v>
      </c>
      <c r="BD104" s="391">
        <f t="shared" si="0"/>
        <v>0</v>
      </c>
      <c r="BE104" s="391">
        <f>IF(AND(BD89&gt;600,BE100&lt;1000),1,0)</f>
        <v>0</v>
      </c>
      <c r="BF104" s="391">
        <f t="shared" si="1"/>
        <v>0</v>
      </c>
      <c r="BG104" s="393">
        <f>AY102+(($BD$89-AX102)*BA104/AZ104)</f>
        <v>3.1999999999999997</v>
      </c>
    </row>
    <row r="105" spans="1:59" s="208" customFormat="1" ht="15.75" customHeight="1" x14ac:dyDescent="0.25">
      <c r="A105" s="62"/>
      <c r="B105" s="198"/>
      <c r="C105" s="28"/>
      <c r="D105" s="28"/>
      <c r="E105" s="28"/>
      <c r="F105" s="28"/>
      <c r="G105" s="28"/>
      <c r="H105" s="28"/>
      <c r="I105" s="28"/>
      <c r="J105" s="28"/>
      <c r="K105" s="28"/>
      <c r="L105" s="28"/>
      <c r="M105" s="118"/>
      <c r="N105" s="118"/>
      <c r="O105" s="263"/>
      <c r="P105" s="108"/>
      <c r="Q105" s="41"/>
      <c r="R105" s="345"/>
      <c r="S105" s="41"/>
      <c r="T105" s="41"/>
      <c r="U105" s="17"/>
      <c r="V105" s="33"/>
      <c r="W105" s="56"/>
      <c r="X105" s="28"/>
      <c r="Y105" s="28"/>
      <c r="Z105" s="28"/>
      <c r="AA105" s="28"/>
      <c r="AB105" s="28"/>
      <c r="AC105" s="28"/>
      <c r="AD105" s="28"/>
      <c r="AE105" s="28"/>
      <c r="AF105" s="28"/>
      <c r="AG105" s="28"/>
      <c r="AH105" s="28"/>
      <c r="AI105" s="54"/>
      <c r="AJ105" s="53"/>
      <c r="AK105" s="208">
        <f>IF(N104&lt;&gt;0,N104,0)</f>
        <v>0</v>
      </c>
      <c r="AL105" s="208">
        <f>IF(AE104&lt;&gt;0,AE104,0)</f>
        <v>0</v>
      </c>
      <c r="AO105" s="208" t="s">
        <v>516</v>
      </c>
      <c r="AP105" s="208">
        <v>3</v>
      </c>
      <c r="AQ105" s="208">
        <v>3.2</v>
      </c>
      <c r="AW105" s="390">
        <v>1</v>
      </c>
      <c r="AX105" s="388"/>
      <c r="AY105" s="387"/>
      <c r="AZ105" s="387"/>
      <c r="BA105" s="387"/>
      <c r="BB105" s="399"/>
      <c r="BC105" s="381" t="s">
        <v>637</v>
      </c>
      <c r="BD105" s="391">
        <f t="shared" si="0"/>
        <v>0</v>
      </c>
      <c r="BE105" s="391">
        <f>IF(BD89=1000,1,0)</f>
        <v>0</v>
      </c>
      <c r="BF105" s="391">
        <f t="shared" si="1"/>
        <v>0</v>
      </c>
      <c r="BG105" s="393">
        <v>3.7</v>
      </c>
    </row>
    <row r="106" spans="1:59" s="208" customFormat="1" ht="15.75" customHeight="1" x14ac:dyDescent="0.25">
      <c r="A106" s="62"/>
      <c r="B106" s="98" t="s">
        <v>446</v>
      </c>
      <c r="C106" s="28"/>
      <c r="D106" s="28"/>
      <c r="E106" s="28"/>
      <c r="F106" s="28"/>
      <c r="G106" s="28"/>
      <c r="H106" s="28"/>
      <c r="I106" s="28"/>
      <c r="J106" s="28"/>
      <c r="K106" s="28"/>
      <c r="L106" s="28"/>
      <c r="M106" s="118"/>
      <c r="N106" s="118"/>
      <c r="O106" s="263"/>
      <c r="P106" s="108"/>
      <c r="Q106" s="41"/>
      <c r="R106" s="345"/>
      <c r="S106" s="41"/>
      <c r="T106" s="41"/>
      <c r="U106" s="17"/>
      <c r="V106" s="33"/>
      <c r="W106" s="56"/>
      <c r="X106" s="28"/>
      <c r="Y106" s="28"/>
      <c r="Z106" s="28"/>
      <c r="AA106" s="28"/>
      <c r="AB106" s="28"/>
      <c r="AC106" s="28"/>
      <c r="AD106" s="28"/>
      <c r="AE106" s="28"/>
      <c r="AF106" s="28"/>
      <c r="AG106" s="28"/>
      <c r="AH106" s="28"/>
      <c r="AI106" s="54"/>
      <c r="AJ106" s="53"/>
      <c r="AO106" s="208" t="s">
        <v>517</v>
      </c>
      <c r="AP106" s="208">
        <v>3</v>
      </c>
      <c r="AQ106" s="208">
        <v>3.4</v>
      </c>
      <c r="AW106" s="390">
        <v>1</v>
      </c>
      <c r="AX106" s="388"/>
      <c r="AY106" s="387"/>
      <c r="AZ106" s="387"/>
      <c r="BA106" s="387"/>
      <c r="BB106" s="399"/>
      <c r="BC106" s="381" t="s">
        <v>638</v>
      </c>
      <c r="BD106" s="391">
        <f t="shared" si="0"/>
        <v>0</v>
      </c>
      <c r="BE106" s="391">
        <f>IF(BD89&gt;1000,1,0)</f>
        <v>0</v>
      </c>
      <c r="BF106" s="391">
        <f t="shared" si="1"/>
        <v>0</v>
      </c>
      <c r="BG106" s="393">
        <v>3.7</v>
      </c>
    </row>
    <row r="107" spans="1:59" s="208" customFormat="1" ht="15.75" customHeight="1" x14ac:dyDescent="0.25">
      <c r="A107" s="62"/>
      <c r="B107" s="677" t="s">
        <v>502</v>
      </c>
      <c r="C107" s="677"/>
      <c r="D107" s="677"/>
      <c r="E107" s="677"/>
      <c r="F107" s="677"/>
      <c r="G107" s="677"/>
      <c r="H107" s="677"/>
      <c r="I107" s="677"/>
      <c r="J107" s="677"/>
      <c r="K107" s="677"/>
      <c r="L107" s="677"/>
      <c r="M107" s="677"/>
      <c r="N107" s="677"/>
      <c r="O107" s="347" t="str">
        <f>IF(ISBLANK(B107),"&lt;- cette cellule ne doit pas être vide ! justificatif invalide !","")</f>
        <v/>
      </c>
      <c r="P107" s="108"/>
      <c r="Q107" s="41"/>
      <c r="R107" s="345"/>
      <c r="S107" s="41"/>
      <c r="T107" s="41"/>
      <c r="U107" s="17"/>
      <c r="V107" s="33"/>
      <c r="W107" s="56"/>
      <c r="X107" s="28"/>
      <c r="Y107" s="28"/>
      <c r="Z107" s="28"/>
      <c r="AA107" s="28"/>
      <c r="AB107" s="28"/>
      <c r="AC107" s="28"/>
      <c r="AD107" s="28"/>
      <c r="AE107" s="28"/>
      <c r="AF107" s="28"/>
      <c r="AG107" s="28"/>
      <c r="AH107" s="28"/>
      <c r="AI107" s="54"/>
      <c r="AJ107" s="53"/>
      <c r="AK107" s="208">
        <f>IF(AK98=TRUE,VLOOKUP(B107,AK126:AM131,3,FALSE),VLOOKUP(B107,AS126:AU131,3,FALSE))</f>
        <v>0</v>
      </c>
      <c r="AL107" s="208" t="s">
        <v>350</v>
      </c>
      <c r="AO107" s="208" t="s">
        <v>518</v>
      </c>
      <c r="AP107" s="208">
        <v>3</v>
      </c>
      <c r="AQ107" s="208">
        <v>3.5</v>
      </c>
      <c r="AW107" s="390">
        <v>2</v>
      </c>
      <c r="AX107" s="388">
        <v>12</v>
      </c>
      <c r="AY107" s="387">
        <v>3.85</v>
      </c>
      <c r="AZ107" s="387"/>
      <c r="BA107" s="387"/>
      <c r="BB107" s="399"/>
      <c r="BC107" s="381" t="s">
        <v>628</v>
      </c>
      <c r="BD107" s="391">
        <f t="shared" si="0"/>
        <v>0</v>
      </c>
      <c r="BE107" s="391">
        <f>IF(BD89&lt;12,1,0)</f>
        <v>1</v>
      </c>
      <c r="BF107" s="391">
        <f t="shared" si="1"/>
        <v>1</v>
      </c>
      <c r="BG107" s="392">
        <v>3.85</v>
      </c>
    </row>
    <row r="108" spans="1:59" s="208" customFormat="1" ht="15" x14ac:dyDescent="0.25">
      <c r="A108" s="62"/>
      <c r="B108" s="483" t="s">
        <v>502</v>
      </c>
      <c r="C108" s="483"/>
      <c r="D108" s="483"/>
      <c r="E108" s="483"/>
      <c r="F108" s="483"/>
      <c r="G108" s="483"/>
      <c r="H108" s="483"/>
      <c r="I108" s="483"/>
      <c r="J108" s="483"/>
      <c r="K108" s="483"/>
      <c r="L108" s="483"/>
      <c r="M108" s="483"/>
      <c r="N108" s="483"/>
      <c r="O108" s="263"/>
      <c r="P108" s="108"/>
      <c r="Q108" s="41"/>
      <c r="R108" s="345"/>
      <c r="S108" s="41"/>
      <c r="T108" s="41"/>
      <c r="U108" s="17"/>
      <c r="V108" s="33"/>
      <c r="W108" s="56"/>
      <c r="X108" s="28"/>
      <c r="Y108" s="28"/>
      <c r="Z108" s="28"/>
      <c r="AA108" s="28"/>
      <c r="AB108" s="28"/>
      <c r="AC108" s="28"/>
      <c r="AD108" s="28"/>
      <c r="AE108" s="28"/>
      <c r="AF108" s="28"/>
      <c r="AG108" s="28"/>
      <c r="AH108" s="28"/>
      <c r="AI108" s="54"/>
      <c r="AJ108" s="53"/>
      <c r="AW108" s="390">
        <v>2</v>
      </c>
      <c r="AX108" s="388"/>
      <c r="AY108" s="387"/>
      <c r="AZ108" s="387"/>
      <c r="BA108" s="387"/>
      <c r="BB108" s="399"/>
      <c r="BC108" s="381" t="s">
        <v>629</v>
      </c>
      <c r="BD108" s="391">
        <f t="shared" si="0"/>
        <v>0</v>
      </c>
      <c r="BE108" s="391">
        <f>IF(BD89=12,1,0)</f>
        <v>0</v>
      </c>
      <c r="BF108" s="391">
        <f t="shared" si="1"/>
        <v>0</v>
      </c>
      <c r="BG108" s="392">
        <v>3.85</v>
      </c>
    </row>
    <row r="109" spans="1:59" s="208" customFormat="1" ht="15" x14ac:dyDescent="0.25">
      <c r="A109" s="62"/>
      <c r="B109" s="483"/>
      <c r="C109" s="483"/>
      <c r="D109" s="483"/>
      <c r="E109" s="483"/>
      <c r="F109" s="483"/>
      <c r="G109" s="483"/>
      <c r="H109" s="483"/>
      <c r="I109" s="483"/>
      <c r="J109" s="483"/>
      <c r="K109" s="483"/>
      <c r="L109" s="483"/>
      <c r="M109" s="483"/>
      <c r="N109" s="483"/>
      <c r="O109" s="750" t="str">
        <f>IF(AND(AJ120=TRUE,AJ121="PAS habitat"),"Achtung, dieses Motiv gilt NICHT ausserhalb der Kat. Wohnen - bitte korrigieren Sie Ihre Auswahl","")</f>
        <v/>
      </c>
      <c r="P109" s="750"/>
      <c r="Q109" s="750"/>
      <c r="R109" s="750"/>
      <c r="S109" s="750"/>
      <c r="T109" s="750"/>
      <c r="U109" s="750"/>
      <c r="V109" s="750"/>
      <c r="W109" s="750"/>
      <c r="X109" s="750"/>
      <c r="Y109" s="750"/>
      <c r="Z109" s="750"/>
      <c r="AA109" s="750"/>
      <c r="AB109" s="750"/>
      <c r="AC109" s="750"/>
      <c r="AD109" s="750"/>
      <c r="AE109" s="750"/>
      <c r="AF109" s="750"/>
      <c r="AG109" s="750"/>
      <c r="AH109" s="750"/>
      <c r="AI109" s="54"/>
      <c r="AJ109" s="53"/>
      <c r="AW109" s="390"/>
      <c r="AX109" s="388"/>
      <c r="AY109" s="387"/>
      <c r="AZ109" s="387"/>
      <c r="BA109" s="387"/>
      <c r="BB109" s="399"/>
      <c r="BC109" s="381"/>
      <c r="BD109" s="391"/>
      <c r="BE109" s="391"/>
      <c r="BF109" s="391"/>
      <c r="BG109" s="392"/>
    </row>
    <row r="110" spans="1:59" s="208" customFormat="1" ht="15" x14ac:dyDescent="0.25">
      <c r="A110" s="108"/>
      <c r="B110" s="108"/>
      <c r="C110" s="108"/>
      <c r="D110" s="108"/>
      <c r="E110" s="108"/>
      <c r="F110" s="108"/>
      <c r="G110" s="108"/>
      <c r="H110" s="108"/>
      <c r="I110" s="108"/>
      <c r="J110" s="108"/>
      <c r="K110" s="108"/>
      <c r="L110" s="108"/>
      <c r="M110" s="108"/>
      <c r="N110" s="108"/>
      <c r="O110" s="750"/>
      <c r="P110" s="750"/>
      <c r="Q110" s="750"/>
      <c r="R110" s="750"/>
      <c r="S110" s="750"/>
      <c r="T110" s="750"/>
      <c r="U110" s="750"/>
      <c r="V110" s="750"/>
      <c r="W110" s="750"/>
      <c r="X110" s="750"/>
      <c r="Y110" s="750"/>
      <c r="Z110" s="750"/>
      <c r="AA110" s="750"/>
      <c r="AB110" s="750"/>
      <c r="AC110" s="750"/>
      <c r="AD110" s="750"/>
      <c r="AE110" s="750"/>
      <c r="AF110" s="750"/>
      <c r="AG110" s="750"/>
      <c r="AH110" s="750"/>
      <c r="AI110" s="54"/>
      <c r="AJ110" s="53"/>
      <c r="AW110" s="390"/>
      <c r="AX110" s="388"/>
      <c r="AY110" s="387"/>
      <c r="AZ110" s="387"/>
      <c r="BA110" s="387"/>
      <c r="BB110" s="399"/>
      <c r="BC110" s="381"/>
      <c r="BD110" s="391"/>
      <c r="BE110" s="391"/>
      <c r="BF110" s="391"/>
      <c r="BG110" s="392"/>
    </row>
    <row r="111" spans="1:59" s="208" customFormat="1" ht="15.75" customHeight="1" x14ac:dyDescent="0.25">
      <c r="A111" s="62"/>
      <c r="B111" s="237" t="s">
        <v>443</v>
      </c>
      <c r="C111" s="189"/>
      <c r="D111" s="189"/>
      <c r="E111" s="189"/>
      <c r="F111" s="189"/>
      <c r="G111" s="189"/>
      <c r="H111" s="189"/>
      <c r="I111" s="189"/>
      <c r="J111" s="189"/>
      <c r="K111" s="189"/>
      <c r="L111" s="189"/>
      <c r="M111" s="189"/>
      <c r="N111" s="602">
        <f>IF(AK98=TRUE,AP119,AP134)</f>
        <v>0</v>
      </c>
      <c r="O111" s="602"/>
      <c r="P111" s="602"/>
      <c r="Q111" s="337" t="s">
        <v>45</v>
      </c>
      <c r="R111" s="32"/>
      <c r="S111" s="41"/>
      <c r="T111" s="41"/>
      <c r="U111" s="17"/>
      <c r="V111" s="33"/>
      <c r="W111" s="56"/>
      <c r="X111" s="28"/>
      <c r="Y111" s="28"/>
      <c r="Z111" s="28"/>
      <c r="AA111" s="28"/>
      <c r="AB111" s="28"/>
      <c r="AC111" s="28"/>
      <c r="AD111" s="28"/>
      <c r="AE111" s="28"/>
      <c r="AF111" s="28"/>
      <c r="AG111" s="28"/>
      <c r="AH111" s="28"/>
      <c r="AI111" s="54"/>
      <c r="AJ111" s="53"/>
      <c r="AW111" s="390">
        <v>2</v>
      </c>
      <c r="AX111" s="388">
        <v>100</v>
      </c>
      <c r="AY111" s="387">
        <v>4.25</v>
      </c>
      <c r="AZ111" s="387">
        <f>AX111-AX107</f>
        <v>88</v>
      </c>
      <c r="BA111" s="387">
        <f>AY111-AY107</f>
        <v>0.39999999999999991</v>
      </c>
      <c r="BB111" s="399">
        <f>BA111/AZ111</f>
        <v>4.5454545454545444E-3</v>
      </c>
      <c r="BC111" s="381" t="s">
        <v>630</v>
      </c>
      <c r="BD111" s="391">
        <f t="shared" si="0"/>
        <v>0</v>
      </c>
      <c r="BE111" s="391">
        <f>IF(AND(BD89&gt;12,BD89&lt;100),1,0)</f>
        <v>0</v>
      </c>
      <c r="BF111" s="391">
        <f t="shared" si="1"/>
        <v>0</v>
      </c>
      <c r="BG111" s="393">
        <f>AY107+(($BD$89-AX107)*BA111/AZ111)</f>
        <v>3.7954545454545454</v>
      </c>
    </row>
    <row r="112" spans="1:59" s="208" customFormat="1" ht="15" x14ac:dyDescent="0.25">
      <c r="A112" s="62"/>
      <c r="B112" s="28"/>
      <c r="C112" s="28"/>
      <c r="D112" s="28"/>
      <c r="E112" s="28"/>
      <c r="F112" s="28"/>
      <c r="G112" s="28"/>
      <c r="H112" s="17"/>
      <c r="I112" s="17"/>
      <c r="J112" s="17"/>
      <c r="K112" s="17"/>
      <c r="L112" s="16"/>
      <c r="M112" s="16"/>
      <c r="N112" s="16"/>
      <c r="O112" s="28"/>
      <c r="P112" s="54"/>
      <c r="Q112" s="29"/>
      <c r="R112" s="28"/>
      <c r="S112" s="54"/>
      <c r="T112" s="28"/>
      <c r="U112" s="28"/>
      <c r="V112" s="28"/>
      <c r="W112" s="28"/>
      <c r="X112" s="28"/>
      <c r="Y112" s="28"/>
      <c r="Z112" s="28"/>
      <c r="AA112" s="28"/>
      <c r="AB112" s="28"/>
      <c r="AC112" s="28"/>
      <c r="AD112" s="28"/>
      <c r="AE112" s="28"/>
      <c r="AF112" s="28"/>
      <c r="AG112" s="28"/>
      <c r="AH112" s="28"/>
      <c r="AI112" s="28"/>
      <c r="AJ112" s="53"/>
      <c r="AO112" s="221" t="s">
        <v>314</v>
      </c>
      <c r="AP112" s="221"/>
      <c r="AQ112" s="221"/>
      <c r="AW112" s="390">
        <v>2</v>
      </c>
      <c r="AX112" s="388"/>
      <c r="AY112" s="387"/>
      <c r="AZ112" s="387"/>
      <c r="BA112" s="387"/>
      <c r="BB112" s="399"/>
      <c r="BC112" s="381" t="s">
        <v>631</v>
      </c>
      <c r="BD112" s="391">
        <f t="shared" si="0"/>
        <v>0</v>
      </c>
      <c r="BE112" s="391">
        <f>IF(BD89=100,1,0)</f>
        <v>0</v>
      </c>
      <c r="BF112" s="391">
        <f t="shared" si="1"/>
        <v>0</v>
      </c>
      <c r="BG112" s="393">
        <v>4.25</v>
      </c>
    </row>
    <row r="113" spans="1:59" s="208" customFormat="1" ht="15" customHeight="1" x14ac:dyDescent="0.25">
      <c r="A113" s="62"/>
      <c r="B113" s="93" t="s">
        <v>540</v>
      </c>
      <c r="C113" s="28"/>
      <c r="D113" s="17"/>
      <c r="E113" s="17"/>
      <c r="F113" s="17"/>
      <c r="G113" s="17"/>
      <c r="H113" s="56"/>
      <c r="I113" s="56"/>
      <c r="J113" s="56"/>
      <c r="K113" s="56"/>
      <c r="L113" s="55"/>
      <c r="M113" s="55"/>
      <c r="N113" s="55"/>
      <c r="O113" s="54"/>
      <c r="P113" s="54"/>
      <c r="Q113" s="54"/>
      <c r="R113" s="28"/>
      <c r="S113" s="54"/>
      <c r="T113" s="28"/>
      <c r="U113" s="28"/>
      <c r="V113" s="28"/>
      <c r="W113" s="28"/>
      <c r="X113" s="28"/>
      <c r="Y113" s="28"/>
      <c r="Z113" s="28"/>
      <c r="AA113" s="28"/>
      <c r="AB113" s="28"/>
      <c r="AC113" s="28"/>
      <c r="AD113" s="28"/>
      <c r="AE113" s="28"/>
      <c r="AF113" s="28"/>
      <c r="AG113" s="28"/>
      <c r="AH113" s="28"/>
      <c r="AI113" s="28"/>
      <c r="AJ113" s="15"/>
      <c r="AK113" s="488" t="s">
        <v>310</v>
      </c>
      <c r="AL113" s="488"/>
      <c r="AM113" s="488"/>
      <c r="AO113" s="264" t="s">
        <v>303</v>
      </c>
      <c r="AP113" s="331">
        <f>IF(N97&gt;0,U121*1000/N97,0)</f>
        <v>0</v>
      </c>
      <c r="AQ113" s="208" t="s">
        <v>305</v>
      </c>
      <c r="AW113" s="390">
        <v>2</v>
      </c>
      <c r="AX113" s="388">
        <v>300</v>
      </c>
      <c r="AY113" s="387">
        <v>4.6500000000000004</v>
      </c>
      <c r="AZ113" s="387">
        <f>AX113-AX111</f>
        <v>200</v>
      </c>
      <c r="BA113" s="387">
        <f>AY113-AY111</f>
        <v>0.40000000000000036</v>
      </c>
      <c r="BB113" s="399">
        <f t="shared" ref="BB113:BB117" si="4">BA113/AZ113</f>
        <v>2.0000000000000018E-3</v>
      </c>
      <c r="BC113" s="381" t="s">
        <v>632</v>
      </c>
      <c r="BD113" s="391">
        <f t="shared" si="0"/>
        <v>0</v>
      </c>
      <c r="BE113" s="391">
        <f>IF(AND(BD89&gt;100,BD89&lt;300),1,0)</f>
        <v>0</v>
      </c>
      <c r="BF113" s="391">
        <f t="shared" si="1"/>
        <v>0</v>
      </c>
      <c r="BG113" s="393">
        <f>AY111+(($BD$89-AX111)*BA113/AZ113)</f>
        <v>4.05</v>
      </c>
    </row>
    <row r="114" spans="1:59" s="208" customFormat="1" ht="15.75" customHeight="1" x14ac:dyDescent="0.25">
      <c r="A114" s="62"/>
      <c r="B114" s="677" t="s">
        <v>502</v>
      </c>
      <c r="C114" s="677"/>
      <c r="D114" s="677"/>
      <c r="E114" s="677"/>
      <c r="F114" s="677"/>
      <c r="G114" s="677"/>
      <c r="H114" s="677"/>
      <c r="I114" s="677"/>
      <c r="J114" s="677"/>
      <c r="K114" s="677"/>
      <c r="L114" s="677"/>
      <c r="M114" s="677"/>
      <c r="N114" s="677"/>
      <c r="O114" s="677"/>
      <c r="P114" s="677"/>
      <c r="Q114" s="677"/>
      <c r="R114" s="677"/>
      <c r="S114" s="677"/>
      <c r="T114" s="677"/>
      <c r="U114" s="677"/>
      <c r="V114" s="28"/>
      <c r="W114" s="28"/>
      <c r="X114" s="28"/>
      <c r="Y114" s="28"/>
      <c r="Z114" s="28"/>
      <c r="AA114" s="28"/>
      <c r="AB114" s="28"/>
      <c r="AC114" s="28"/>
      <c r="AD114" s="28"/>
      <c r="AE114" s="28"/>
      <c r="AF114" s="28"/>
      <c r="AG114" s="28"/>
      <c r="AH114" s="28"/>
      <c r="AI114" s="28"/>
      <c r="AJ114" s="15"/>
      <c r="AK114" s="223">
        <f>IF(AND(AK98=TRUE,AP114&lt;&gt;0),AP120,AP119)</f>
        <v>0</v>
      </c>
      <c r="AL114" s="208" t="s">
        <v>45</v>
      </c>
      <c r="AM114" s="208" t="s">
        <v>306</v>
      </c>
      <c r="AO114" s="212" t="s">
        <v>321</v>
      </c>
      <c r="AP114" s="331">
        <f>IF(AP113-12&lt;0,0,AP113-12)</f>
        <v>0</v>
      </c>
      <c r="AQ114" s="208" t="s">
        <v>305</v>
      </c>
      <c r="AW114" s="390">
        <v>2</v>
      </c>
      <c r="AX114" s="388"/>
      <c r="AY114" s="387"/>
      <c r="AZ114" s="387"/>
      <c r="BA114" s="387"/>
      <c r="BB114" s="399"/>
      <c r="BC114" s="381" t="s">
        <v>633</v>
      </c>
      <c r="BD114" s="391">
        <f t="shared" si="0"/>
        <v>0</v>
      </c>
      <c r="BE114" s="391">
        <f>IF(BD89=300,1,0)</f>
        <v>0</v>
      </c>
      <c r="BF114" s="391">
        <f t="shared" si="1"/>
        <v>0</v>
      </c>
      <c r="BG114" s="393">
        <v>4.6500000000000004</v>
      </c>
    </row>
    <row r="115" spans="1:59" s="208" customFormat="1" ht="15.75" customHeight="1" x14ac:dyDescent="0.25">
      <c r="A115" s="62"/>
      <c r="B115" s="676" t="s">
        <v>502</v>
      </c>
      <c r="C115" s="676"/>
      <c r="D115" s="676"/>
      <c r="E115" s="676"/>
      <c r="F115" s="676"/>
      <c r="G115" s="676"/>
      <c r="H115" s="676"/>
      <c r="I115" s="676"/>
      <c r="J115" s="676"/>
      <c r="K115" s="676"/>
      <c r="L115" s="676"/>
      <c r="M115" s="676"/>
      <c r="N115" s="676"/>
      <c r="O115" s="676"/>
      <c r="P115" s="676"/>
      <c r="Q115" s="676"/>
      <c r="R115" s="676"/>
      <c r="S115" s="676"/>
      <c r="T115" s="676"/>
      <c r="U115" s="676"/>
      <c r="V115" s="251"/>
      <c r="W115" s="251"/>
      <c r="X115" s="251"/>
      <c r="Y115" s="251"/>
      <c r="Z115" s="251"/>
      <c r="AA115" s="251"/>
      <c r="AB115" s="251"/>
      <c r="AC115" s="251"/>
      <c r="AD115" s="251"/>
      <c r="AE115" s="251"/>
      <c r="AF115" s="251"/>
      <c r="AG115" s="251"/>
      <c r="AH115" s="28"/>
      <c r="AI115" s="28"/>
      <c r="AJ115" s="15"/>
      <c r="AK115" s="212">
        <f>IF(AK98=TRUE,AP121,0)</f>
        <v>0</v>
      </c>
      <c r="AL115" s="208" t="s">
        <v>45</v>
      </c>
      <c r="AM115" s="208" t="s">
        <v>307</v>
      </c>
      <c r="AO115" s="212" t="s">
        <v>315</v>
      </c>
      <c r="AP115" s="335" t="e">
        <f>AR115*AP114</f>
        <v>#DIV/0!</v>
      </c>
      <c r="AQ115" s="208" t="s">
        <v>305</v>
      </c>
      <c r="AR115" s="333" t="e">
        <f>AK103/(AK103+AL103)</f>
        <v>#DIV/0!</v>
      </c>
      <c r="AW115" s="390">
        <v>2</v>
      </c>
      <c r="AX115" s="388">
        <v>600</v>
      </c>
      <c r="AY115" s="387">
        <v>5.05</v>
      </c>
      <c r="AZ115" s="387">
        <f>AX115-AX113</f>
        <v>300</v>
      </c>
      <c r="BA115" s="387">
        <f>AY115-AY113</f>
        <v>0.39999999999999947</v>
      </c>
      <c r="BB115" s="399">
        <f t="shared" si="4"/>
        <v>1.3333333333333316E-3</v>
      </c>
      <c r="BC115" s="381" t="s">
        <v>634</v>
      </c>
      <c r="BD115" s="391">
        <f t="shared" si="0"/>
        <v>0</v>
      </c>
      <c r="BE115" s="391">
        <f>IF(AND(BD89&gt;300,BD89&lt;600),1,0)</f>
        <v>0</v>
      </c>
      <c r="BF115" s="391">
        <f t="shared" si="1"/>
        <v>0</v>
      </c>
      <c r="BG115" s="393">
        <f>AY113+(($BD$89-AX113)*BA115/AZ115)</f>
        <v>4.2500000000000009</v>
      </c>
    </row>
    <row r="116" spans="1:59" ht="18.600000000000001" customHeight="1" x14ac:dyDescent="0.25">
      <c r="B116" s="311" t="str">
        <f>IF(B114=AO85,"",IF(N119&lt;&gt;0,IF(N119&lt;N117,"Die Maschine entspricht nicht dem Stand der Technik, Elektrizitätdeckung erforderlich mit Aufschlag EER-Verhältnis (Für Wohngebäude &gt;12W/m2).",""),""))</f>
        <v/>
      </c>
      <c r="C116" s="297"/>
      <c r="D116" s="297"/>
      <c r="E116" s="297"/>
      <c r="F116" s="297"/>
      <c r="G116" s="297"/>
      <c r="H116" s="297"/>
      <c r="I116" s="297"/>
      <c r="J116" s="297"/>
      <c r="K116" s="297"/>
      <c r="L116" s="297"/>
      <c r="M116" s="297"/>
      <c r="N116" s="297"/>
      <c r="O116" s="297"/>
      <c r="P116" s="297"/>
      <c r="Q116" s="297"/>
      <c r="R116" s="297"/>
      <c r="S116" s="57"/>
      <c r="T116" s="251"/>
      <c r="U116" s="251"/>
      <c r="V116" s="251"/>
      <c r="W116" s="251"/>
      <c r="X116" s="251"/>
      <c r="Y116" s="251"/>
      <c r="Z116" s="251"/>
      <c r="AA116" s="251"/>
      <c r="AB116" s="251"/>
      <c r="AC116" s="251"/>
      <c r="AD116" s="251"/>
      <c r="AE116" s="251"/>
      <c r="AF116" s="251"/>
      <c r="AG116" s="251"/>
      <c r="AH116" s="28"/>
      <c r="AK116" s="223">
        <f>IF(AK98=FALSE,AP135,0)</f>
        <v>0</v>
      </c>
      <c r="AL116" s="219" t="s">
        <v>45</v>
      </c>
      <c r="AM116" s="208" t="s">
        <v>308</v>
      </c>
      <c r="AO116" s="212" t="s">
        <v>316</v>
      </c>
      <c r="AP116" s="335" t="e">
        <f>AR116*AP114</f>
        <v>#DIV/0!</v>
      </c>
      <c r="AQ116" s="208" t="s">
        <v>305</v>
      </c>
      <c r="AR116" s="334" t="e">
        <f>1-AR115</f>
        <v>#DIV/0!</v>
      </c>
      <c r="AW116" s="390">
        <v>2</v>
      </c>
      <c r="AX116" s="388"/>
      <c r="AY116" s="387"/>
      <c r="AZ116" s="387"/>
      <c r="BA116" s="387"/>
      <c r="BB116" s="399"/>
      <c r="BC116" s="381" t="s">
        <v>635</v>
      </c>
      <c r="BD116" s="391">
        <f t="shared" si="0"/>
        <v>0</v>
      </c>
      <c r="BE116" s="391">
        <f>IF(BD89=600,1,0)</f>
        <v>0</v>
      </c>
      <c r="BF116" s="391">
        <f t="shared" si="1"/>
        <v>0</v>
      </c>
      <c r="BG116" s="393">
        <v>5.05</v>
      </c>
    </row>
    <row r="117" spans="1:59" ht="20.100000000000001" customHeight="1" x14ac:dyDescent="0.25">
      <c r="A117" s="39"/>
      <c r="B117" s="191" t="s">
        <v>541</v>
      </c>
      <c r="C117" s="48"/>
      <c r="D117" s="28"/>
      <c r="E117" s="198"/>
      <c r="F117" s="28"/>
      <c r="G117" s="48"/>
      <c r="H117" s="39"/>
      <c r="I117" s="28"/>
      <c r="J117" s="28"/>
      <c r="K117" s="28"/>
      <c r="L117" s="28"/>
      <c r="M117" s="57"/>
      <c r="N117" s="751" t="str">
        <f>IFERROR(BD90,"")</f>
        <v/>
      </c>
      <c r="O117" s="751"/>
      <c r="P117" s="751"/>
      <c r="Q117" s="57"/>
      <c r="R117" s="340">
        <f>IF(N101&lt;&gt;0,IF(B115="","Choisir une machine !",""),0)</f>
        <v>0</v>
      </c>
      <c r="S117" s="39"/>
      <c r="T117" s="28"/>
      <c r="U117" s="28"/>
      <c r="V117" s="251"/>
      <c r="W117" s="251"/>
      <c r="X117" s="251"/>
      <c r="Y117" s="251"/>
      <c r="Z117" s="28"/>
      <c r="AA117" s="28"/>
      <c r="AB117" s="28"/>
      <c r="AC117" s="28"/>
      <c r="AD117" s="28"/>
      <c r="AE117" s="28"/>
      <c r="AF117" s="28"/>
      <c r="AG117" s="28"/>
      <c r="AH117" s="28"/>
      <c r="AJ117" s="53"/>
      <c r="AK117" s="212">
        <f>IF(AK98=FALSE,AP136,0)</f>
        <v>0</v>
      </c>
      <c r="AL117" s="208" t="s">
        <v>45</v>
      </c>
      <c r="AM117" s="208" t="s">
        <v>309</v>
      </c>
      <c r="AO117" s="264" t="s">
        <v>332</v>
      </c>
      <c r="AP117" s="343">
        <f>IFERROR(1-(N119/N117),0)</f>
        <v>0</v>
      </c>
      <c r="AQ117" s="342"/>
      <c r="AR117" s="219"/>
      <c r="AW117" s="390">
        <v>2</v>
      </c>
      <c r="AX117" s="388">
        <v>1000</v>
      </c>
      <c r="AY117" s="387">
        <v>5.5</v>
      </c>
      <c r="AZ117" s="387">
        <f t="shared" ref="AZ117:BA117" si="5">AX117-AX115</f>
        <v>400</v>
      </c>
      <c r="BA117" s="387">
        <f t="shared" si="5"/>
        <v>0.45000000000000018</v>
      </c>
      <c r="BB117" s="399">
        <f t="shared" si="4"/>
        <v>1.1250000000000003E-3</v>
      </c>
      <c r="BC117" s="381" t="s">
        <v>636</v>
      </c>
      <c r="BD117" s="391">
        <f t="shared" si="0"/>
        <v>0</v>
      </c>
      <c r="BE117" s="391">
        <f>IF(AND(BD89&gt;600,BE113&lt;1000),1,0)</f>
        <v>0</v>
      </c>
      <c r="BF117" s="391">
        <f t="shared" si="1"/>
        <v>0</v>
      </c>
      <c r="BG117" s="393">
        <f>AY115+(($BD$89-AX115)*BA117/AZ117)</f>
        <v>4.375</v>
      </c>
    </row>
    <row r="118" spans="1:59" ht="6" customHeight="1" x14ac:dyDescent="0.25">
      <c r="A118" s="39"/>
      <c r="B118" s="191"/>
      <c r="C118" s="48"/>
      <c r="D118" s="28"/>
      <c r="E118" s="198"/>
      <c r="F118" s="28"/>
      <c r="G118" s="48"/>
      <c r="H118" s="39"/>
      <c r="I118" s="28"/>
      <c r="J118" s="28"/>
      <c r="K118" s="28"/>
      <c r="L118" s="28"/>
      <c r="M118" s="28"/>
      <c r="N118" s="679"/>
      <c r="O118" s="679"/>
      <c r="P118" s="679"/>
      <c r="Q118" s="57"/>
      <c r="R118" s="28"/>
      <c r="S118" s="39"/>
      <c r="T118" s="28"/>
      <c r="U118" s="28"/>
      <c r="V118" s="251"/>
      <c r="W118" s="251"/>
      <c r="X118" s="251"/>
      <c r="Y118" s="251"/>
      <c r="Z118" s="28"/>
      <c r="AA118" s="28"/>
      <c r="AB118" s="28"/>
      <c r="AC118" s="28"/>
      <c r="AD118" s="28"/>
      <c r="AE118" s="28"/>
      <c r="AF118" s="28"/>
      <c r="AG118" s="28"/>
      <c r="AH118" s="28"/>
      <c r="AJ118" s="53"/>
      <c r="AK118" s="332">
        <f>IF(AK98=TRUE,SUM(AK114:AK115),SUM(AK116:AK117))</f>
        <v>0</v>
      </c>
      <c r="AL118" s="221" t="s">
        <v>45</v>
      </c>
      <c r="AM118" s="221" t="s">
        <v>311</v>
      </c>
      <c r="AO118" s="208" t="s">
        <v>333</v>
      </c>
      <c r="AP118" s="273">
        <f>IF(AP117&gt;0,1,2)</f>
        <v>2</v>
      </c>
      <c r="AQ118" s="208" t="s">
        <v>319</v>
      </c>
      <c r="AW118" s="390">
        <v>2</v>
      </c>
      <c r="AX118" s="388"/>
      <c r="AY118" s="387"/>
      <c r="AZ118" s="387"/>
      <c r="BA118" s="387"/>
      <c r="BB118" s="399"/>
      <c r="BC118" s="381" t="s">
        <v>637</v>
      </c>
      <c r="BD118" s="391">
        <f t="shared" si="0"/>
        <v>0</v>
      </c>
      <c r="BE118" s="391">
        <f>IF(BD89=1000,1,0)</f>
        <v>0</v>
      </c>
      <c r="BF118" s="391">
        <f t="shared" si="1"/>
        <v>0</v>
      </c>
      <c r="BG118" s="393">
        <v>5.5</v>
      </c>
    </row>
    <row r="119" spans="1:59" ht="18" customHeight="1" x14ac:dyDescent="0.25">
      <c r="B119" s="300" t="s">
        <v>542</v>
      </c>
      <c r="C119" s="299"/>
      <c r="D119" s="301"/>
      <c r="E119" s="299"/>
      <c r="F119" s="299"/>
      <c r="G119" s="298"/>
      <c r="H119" s="301"/>
      <c r="I119" s="301"/>
      <c r="J119" s="301"/>
      <c r="K119" s="302"/>
      <c r="L119" s="301"/>
      <c r="M119" s="301"/>
      <c r="N119" s="601"/>
      <c r="O119" s="601"/>
      <c r="P119" s="601"/>
      <c r="Q119" s="303"/>
      <c r="R119" s="301"/>
      <c r="S119" s="301"/>
      <c r="T119" s="301"/>
      <c r="U119" s="301"/>
      <c r="V119" s="304"/>
      <c r="W119" s="304"/>
      <c r="X119" s="304"/>
      <c r="Y119" s="304"/>
      <c r="Z119" s="301"/>
      <c r="AA119" s="301"/>
      <c r="AB119" s="301"/>
      <c r="AC119" s="301"/>
      <c r="AD119" s="301"/>
      <c r="AE119" s="301"/>
      <c r="AF119" s="301"/>
      <c r="AG119" s="301"/>
      <c r="AH119" s="301"/>
      <c r="AO119" s="208" t="s">
        <v>337</v>
      </c>
      <c r="AP119" s="435">
        <f>IFERROR(IF(AND(AK107=300,B108=AK137),0,IF(AND(AK107&lt;&gt;0,B108=AK136),(VLOOKUP(B107,AK126:AM131,3,FALSE)*N101),IF(AND(AK107&lt;&gt;0,B108=AK137),(VLOOKUP(B107,AK126:AM131,3,FALSE)*N101),0))),0)</f>
        <v>0</v>
      </c>
      <c r="AQ119" s="208" t="s">
        <v>216</v>
      </c>
      <c r="AW119" s="390">
        <v>2</v>
      </c>
      <c r="AX119" s="387"/>
      <c r="AY119" s="387"/>
      <c r="AZ119" s="387"/>
      <c r="BA119" s="387"/>
      <c r="BB119" s="399"/>
      <c r="BC119" s="381" t="s">
        <v>638</v>
      </c>
      <c r="BD119" s="391">
        <f t="shared" si="0"/>
        <v>0</v>
      </c>
      <c r="BE119" s="391">
        <f>IF(BD89&gt;1000,1,0)</f>
        <v>0</v>
      </c>
      <c r="BF119" s="391">
        <f t="shared" si="1"/>
        <v>0</v>
      </c>
      <c r="BG119" s="392">
        <v>5.5</v>
      </c>
    </row>
    <row r="120" spans="1:59" ht="15" x14ac:dyDescent="0.25">
      <c r="C120" s="48"/>
      <c r="D120" s="49"/>
      <c r="E120" s="49"/>
      <c r="G120" s="48"/>
      <c r="H120" s="48"/>
      <c r="I120" s="48"/>
      <c r="J120" s="28"/>
      <c r="K120" s="28"/>
      <c r="L120" s="19"/>
      <c r="M120" s="143"/>
      <c r="N120" s="143"/>
      <c r="O120" s="143"/>
      <c r="P120" s="28"/>
      <c r="Q120" s="28"/>
      <c r="R120" s="28"/>
      <c r="S120" s="28"/>
      <c r="T120" s="30"/>
      <c r="U120" s="30"/>
      <c r="V120" s="17"/>
      <c r="W120" s="17"/>
      <c r="X120" s="17"/>
      <c r="Y120" s="17"/>
      <c r="Z120" s="17"/>
      <c r="AA120" s="17"/>
      <c r="AB120" s="44"/>
      <c r="AC120" s="110"/>
      <c r="AD120" s="110"/>
      <c r="AE120" s="110"/>
      <c r="AF120" s="71"/>
      <c r="AG120" s="71"/>
      <c r="AH120" s="17"/>
      <c r="AJ120" s="433" t="b">
        <f>IF(B108="Rev. WP für Wohnbauten ohne zusätzliche aktive Kühlabgabeelemente",TRUE,FALSE)</f>
        <v>0</v>
      </c>
      <c r="AK120" s="273"/>
      <c r="AO120" s="329" t="s">
        <v>302</v>
      </c>
      <c r="AP120" s="330">
        <f>IF(AK120=1,(AP115*N97/1000*1000)+AP119,IF(AP118=1,((AK103*AP117)+AP119),0+AP119))</f>
        <v>0</v>
      </c>
      <c r="AQ120" s="221" t="s">
        <v>45</v>
      </c>
      <c r="AW120" s="390">
        <v>3</v>
      </c>
      <c r="AX120" s="388">
        <v>12</v>
      </c>
      <c r="AY120" s="387">
        <v>2.9</v>
      </c>
      <c r="AZ120" s="387"/>
      <c r="BA120" s="387"/>
      <c r="BB120" s="399"/>
      <c r="BC120" s="381" t="s">
        <v>628</v>
      </c>
      <c r="BD120" s="391">
        <f t="shared" si="0"/>
        <v>0</v>
      </c>
      <c r="BE120" s="391">
        <f>IF(BD89&lt;12,1,0)</f>
        <v>1</v>
      </c>
      <c r="BF120" s="391">
        <f t="shared" si="1"/>
        <v>1</v>
      </c>
      <c r="BG120" s="392">
        <v>2.9</v>
      </c>
    </row>
    <row r="121" spans="1:59" ht="15.75" x14ac:dyDescent="0.25">
      <c r="B121" s="251"/>
      <c r="C121" s="251"/>
      <c r="D121" s="251"/>
      <c r="E121" s="251"/>
      <c r="F121" s="251"/>
      <c r="G121" s="251"/>
      <c r="H121" s="251"/>
      <c r="I121" s="251"/>
      <c r="J121" s="28" t="s">
        <v>543</v>
      </c>
      <c r="K121" s="28"/>
      <c r="L121" s="251"/>
      <c r="M121" s="28"/>
      <c r="N121" s="28"/>
      <c r="O121" s="28"/>
      <c r="P121" s="28"/>
      <c r="Q121" s="28"/>
      <c r="R121" s="28"/>
      <c r="S121" s="28"/>
      <c r="T121" s="28"/>
      <c r="U121" s="493">
        <f>N101+AE101</f>
        <v>0</v>
      </c>
      <c r="V121" s="493"/>
      <c r="W121" s="97" t="s">
        <v>43</v>
      </c>
      <c r="X121" s="18"/>
      <c r="Y121" s="492" t="str">
        <f>IF(AND(N101&lt;&gt;0,N119="",B115&lt;&gt;AO103),"Die Berechnung ist ungültig, ergänzen Sie den EER der Kältemaschine!","")</f>
        <v/>
      </c>
      <c r="Z121" s="492"/>
      <c r="AA121" s="492"/>
      <c r="AB121" s="492"/>
      <c r="AC121" s="492"/>
      <c r="AD121" s="492"/>
      <c r="AE121" s="492"/>
      <c r="AF121" s="492"/>
      <c r="AG121" s="492"/>
      <c r="AH121" s="492"/>
      <c r="AJ121" s="433" t="str">
        <f>IF(AK98=TRUE,"","PAS habitat")</f>
        <v>PAS habitat</v>
      </c>
      <c r="AL121" s="219"/>
      <c r="AO121" s="329" t="s">
        <v>320</v>
      </c>
      <c r="AP121" s="330" t="e">
        <f>(AP116*N97*1000/1000)</f>
        <v>#DIV/0!</v>
      </c>
      <c r="AQ121" s="221" t="s">
        <v>45</v>
      </c>
      <c r="AW121" s="390">
        <v>3</v>
      </c>
      <c r="AX121" s="388"/>
      <c r="AY121" s="387"/>
      <c r="AZ121" s="387"/>
      <c r="BA121" s="387"/>
      <c r="BB121" s="399"/>
      <c r="BC121" s="381" t="s">
        <v>629</v>
      </c>
      <c r="BD121" s="391">
        <f t="shared" si="0"/>
        <v>0</v>
      </c>
      <c r="BE121" s="391">
        <f>IF(BD89=12,1,0)</f>
        <v>0</v>
      </c>
      <c r="BF121" s="391">
        <f t="shared" si="1"/>
        <v>0</v>
      </c>
      <c r="BG121" s="392">
        <v>2.9</v>
      </c>
    </row>
    <row r="122" spans="1:59" ht="15.75" customHeight="1" x14ac:dyDescent="0.25">
      <c r="B122" s="251"/>
      <c r="C122" s="251"/>
      <c r="D122" s="251"/>
      <c r="E122" s="251"/>
      <c r="F122" s="251"/>
      <c r="G122" s="251"/>
      <c r="H122" s="251"/>
      <c r="I122" s="251"/>
      <c r="J122" s="115" t="s">
        <v>447</v>
      </c>
      <c r="K122" s="28"/>
      <c r="L122" s="251"/>
      <c r="M122" s="28"/>
      <c r="N122" s="114"/>
      <c r="O122" s="114"/>
      <c r="P122" s="114"/>
      <c r="Q122" s="114"/>
      <c r="R122" s="114"/>
      <c r="S122" s="114"/>
      <c r="T122" s="251"/>
      <c r="U122" s="491" t="str">
        <f>IF(N97&gt;0,U121*1000/N97,"")</f>
        <v/>
      </c>
      <c r="V122" s="491"/>
      <c r="W122" s="97" t="s">
        <v>114</v>
      </c>
      <c r="X122" s="296"/>
      <c r="Y122" s="492"/>
      <c r="Z122" s="492"/>
      <c r="AA122" s="492"/>
      <c r="AB122" s="492"/>
      <c r="AC122" s="492"/>
      <c r="AD122" s="492"/>
      <c r="AE122" s="492"/>
      <c r="AF122" s="492"/>
      <c r="AG122" s="492"/>
      <c r="AH122" s="492"/>
      <c r="AL122" s="219"/>
      <c r="AW122" s="390">
        <v>3</v>
      </c>
      <c r="AX122" s="388">
        <v>100</v>
      </c>
      <c r="AY122" s="387">
        <v>3.1</v>
      </c>
      <c r="AZ122" s="387">
        <f>AX122-AX120</f>
        <v>88</v>
      </c>
      <c r="BA122" s="387">
        <f>AY122-AY120</f>
        <v>0.20000000000000018</v>
      </c>
      <c r="BB122" s="399">
        <f>BA122/AZ122</f>
        <v>2.2727272727272748E-3</v>
      </c>
      <c r="BC122" s="381" t="s">
        <v>630</v>
      </c>
      <c r="BD122" s="391">
        <f t="shared" si="0"/>
        <v>0</v>
      </c>
      <c r="BE122" s="391">
        <f>IF(AND(BD89&gt;12,BD89&lt;100),1,0)</f>
        <v>0</v>
      </c>
      <c r="BF122" s="391">
        <f t="shared" si="1"/>
        <v>0</v>
      </c>
      <c r="BG122" s="393">
        <f>AY120+(($BD$89-AX120)*BA122/AZ122)</f>
        <v>2.8727272727272726</v>
      </c>
    </row>
    <row r="123" spans="1:59" ht="8.1" customHeight="1" x14ac:dyDescent="0.25">
      <c r="B123" s="251"/>
      <c r="C123" s="251"/>
      <c r="D123" s="251"/>
      <c r="E123" s="251"/>
      <c r="F123" s="251"/>
      <c r="G123" s="251"/>
      <c r="H123" s="251"/>
      <c r="I123" s="251"/>
      <c r="J123" s="251"/>
      <c r="K123" s="115"/>
      <c r="L123" s="251"/>
      <c r="M123" s="28"/>
      <c r="N123" s="114"/>
      <c r="O123" s="114"/>
      <c r="P123" s="114"/>
      <c r="Q123" s="114"/>
      <c r="R123" s="114"/>
      <c r="S123" s="114"/>
      <c r="T123" s="251"/>
      <c r="U123" s="327"/>
      <c r="V123" s="327"/>
      <c r="W123" s="97"/>
      <c r="X123" s="296"/>
      <c r="Y123" s="492"/>
      <c r="Z123" s="492"/>
      <c r="AA123" s="492"/>
      <c r="AB123" s="492"/>
      <c r="AC123" s="492"/>
      <c r="AD123" s="492"/>
      <c r="AE123" s="492"/>
      <c r="AF123" s="492"/>
      <c r="AG123" s="492"/>
      <c r="AH123" s="492"/>
      <c r="AL123" s="219"/>
      <c r="AO123" s="209"/>
      <c r="AP123" s="209"/>
      <c r="AQ123" s="209"/>
      <c r="AW123" s="390">
        <v>3</v>
      </c>
      <c r="AX123" s="388"/>
      <c r="AY123" s="387"/>
      <c r="AZ123" s="387"/>
      <c r="BA123" s="387"/>
      <c r="BB123" s="399"/>
      <c r="BC123" s="381" t="s">
        <v>631</v>
      </c>
      <c r="BD123" s="391">
        <f t="shared" si="0"/>
        <v>0</v>
      </c>
      <c r="BE123" s="391">
        <f>IF(BD89=100,1,0)</f>
        <v>0</v>
      </c>
      <c r="BF123" s="391">
        <f t="shared" si="1"/>
        <v>0</v>
      </c>
      <c r="BG123" s="393">
        <v>3.1</v>
      </c>
    </row>
    <row r="124" spans="1:59" ht="15" x14ac:dyDescent="0.25">
      <c r="B124" s="28"/>
      <c r="C124" s="28"/>
      <c r="D124" s="28"/>
      <c r="E124" s="28"/>
      <c r="F124" s="28"/>
      <c r="G124" s="28"/>
      <c r="H124" s="28"/>
      <c r="I124" s="251"/>
      <c r="J124" s="28"/>
      <c r="K124" s="28"/>
      <c r="L124" s="294"/>
      <c r="M124" s="294"/>
      <c r="N124" s="263"/>
      <c r="O124" s="108"/>
      <c r="P124" s="28"/>
      <c r="Q124" s="295"/>
      <c r="R124" s="295"/>
      <c r="S124" s="295"/>
      <c r="T124" s="295"/>
      <c r="U124" s="491"/>
      <c r="V124" s="491"/>
      <c r="W124" s="97"/>
      <c r="X124" s="295"/>
      <c r="Y124" s="492"/>
      <c r="Z124" s="492"/>
      <c r="AA124" s="492"/>
      <c r="AB124" s="492"/>
      <c r="AC124" s="492"/>
      <c r="AD124" s="492"/>
      <c r="AE124" s="492"/>
      <c r="AF124" s="492"/>
      <c r="AG124" s="492"/>
      <c r="AH124" s="492"/>
      <c r="AL124" s="219"/>
      <c r="AO124" s="209"/>
      <c r="AP124" s="209"/>
      <c r="AQ124" s="209"/>
      <c r="AW124" s="390">
        <v>3</v>
      </c>
      <c r="AX124" s="388">
        <v>300</v>
      </c>
      <c r="AY124" s="387">
        <v>3.2</v>
      </c>
      <c r="AZ124" s="387">
        <f>AX124-AX122</f>
        <v>200</v>
      </c>
      <c r="BA124" s="387">
        <f>AY124-AY122</f>
        <v>0.10000000000000009</v>
      </c>
      <c r="BB124" s="399">
        <f t="shared" ref="BB124:BB128" si="6">BA124/AZ124</f>
        <v>5.0000000000000044E-4</v>
      </c>
      <c r="BC124" s="381" t="s">
        <v>632</v>
      </c>
      <c r="BD124" s="391">
        <f t="shared" si="0"/>
        <v>0</v>
      </c>
      <c r="BE124" s="391">
        <f>IF(AND(BD89&gt;100,BD89&lt;300),1,0)</f>
        <v>0</v>
      </c>
      <c r="BF124" s="391">
        <f t="shared" si="1"/>
        <v>0</v>
      </c>
      <c r="BG124" s="393">
        <f>AY122+(($BD$89-AX122)*BA124/AZ124)</f>
        <v>3.05</v>
      </c>
    </row>
    <row r="125" spans="1:59" ht="15" x14ac:dyDescent="0.25">
      <c r="B125" s="28"/>
      <c r="C125" s="28"/>
      <c r="D125" s="28"/>
      <c r="E125" s="28"/>
      <c r="F125" s="28"/>
      <c r="G125" s="28"/>
      <c r="H125" s="28"/>
      <c r="I125" s="251"/>
      <c r="J125" s="28"/>
      <c r="K125" s="28"/>
      <c r="L125" s="294"/>
      <c r="M125" s="294"/>
      <c r="N125" s="263"/>
      <c r="O125" s="108"/>
      <c r="P125" s="28"/>
      <c r="Q125" s="295"/>
      <c r="R125" s="295"/>
      <c r="S125" s="295"/>
      <c r="T125" s="295"/>
      <c r="U125" s="327"/>
      <c r="V125" s="327"/>
      <c r="W125" s="97"/>
      <c r="X125" s="295"/>
      <c r="Y125" s="328"/>
      <c r="Z125" s="328"/>
      <c r="AA125" s="328"/>
      <c r="AB125" s="328"/>
      <c r="AC125" s="328"/>
      <c r="AD125" s="328"/>
      <c r="AE125" s="328"/>
      <c r="AF125" s="328"/>
      <c r="AG125" s="328"/>
      <c r="AH125" s="328"/>
      <c r="AK125" s="221" t="s">
        <v>339</v>
      </c>
      <c r="AO125" s="437"/>
      <c r="AP125" s="437"/>
      <c r="AQ125" s="437"/>
      <c r="AR125" s="437"/>
      <c r="AS125" s="221" t="s">
        <v>705</v>
      </c>
      <c r="AW125" s="390">
        <v>3</v>
      </c>
      <c r="AX125" s="388"/>
      <c r="AY125" s="387"/>
      <c r="AZ125" s="387"/>
      <c r="BA125" s="387"/>
      <c r="BB125" s="399"/>
      <c r="BC125" s="381" t="s">
        <v>633</v>
      </c>
      <c r="BD125" s="391">
        <f t="shared" si="0"/>
        <v>0</v>
      </c>
      <c r="BE125" s="391">
        <f>IF(BD89=300,1,0)</f>
        <v>0</v>
      </c>
      <c r="BF125" s="391">
        <f t="shared" si="1"/>
        <v>0</v>
      </c>
      <c r="BG125" s="393">
        <v>3.2</v>
      </c>
    </row>
    <row r="126" spans="1:59" ht="15" x14ac:dyDescent="0.25">
      <c r="B126" s="54"/>
      <c r="C126" s="48"/>
      <c r="D126" s="49"/>
      <c r="E126" s="49"/>
      <c r="F126" s="49"/>
      <c r="G126" s="48"/>
      <c r="H126" s="48"/>
      <c r="I126" s="48"/>
      <c r="J126" s="28"/>
      <c r="K126" s="115"/>
      <c r="L126" s="19"/>
      <c r="M126" s="143"/>
      <c r="N126" s="143"/>
      <c r="O126" s="143"/>
      <c r="P126" s="28"/>
      <c r="Q126" s="22"/>
      <c r="R126" s="28"/>
      <c r="S126" s="28"/>
      <c r="T126" s="30"/>
      <c r="V126" s="17"/>
      <c r="W126" s="17"/>
      <c r="X126" s="17"/>
      <c r="Y126" s="17"/>
      <c r="Z126" s="17"/>
      <c r="AA126" s="44" t="s">
        <v>443</v>
      </c>
      <c r="AB126" s="28"/>
      <c r="AC126" s="495">
        <f>AK118</f>
        <v>0</v>
      </c>
      <c r="AD126" s="495"/>
      <c r="AE126" s="495"/>
      <c r="AF126" s="496" t="s">
        <v>45</v>
      </c>
      <c r="AG126" s="496"/>
      <c r="AH126" s="17"/>
      <c r="AM126" s="208">
        <v>0</v>
      </c>
      <c r="AO126" s="437"/>
      <c r="AP126" s="437"/>
      <c r="AQ126" s="437"/>
      <c r="AR126" s="437"/>
      <c r="AU126" s="208">
        <v>0</v>
      </c>
      <c r="AW126" s="390">
        <v>3</v>
      </c>
      <c r="AX126" s="388">
        <v>600</v>
      </c>
      <c r="AY126" s="387">
        <v>3.4</v>
      </c>
      <c r="AZ126" s="387">
        <f>AX126-AX124</f>
        <v>300</v>
      </c>
      <c r="BA126" s="387">
        <f>AY126-AY124</f>
        <v>0.19999999999999973</v>
      </c>
      <c r="BB126" s="399">
        <f t="shared" si="6"/>
        <v>6.6666666666666578E-4</v>
      </c>
      <c r="BC126" s="381" t="s">
        <v>634</v>
      </c>
      <c r="BD126" s="391">
        <f t="shared" si="0"/>
        <v>0</v>
      </c>
      <c r="BE126" s="391">
        <f>IF(AND(BD89&gt;300,BD89&lt;600),1,0)</f>
        <v>0</v>
      </c>
      <c r="BF126" s="391">
        <f t="shared" si="1"/>
        <v>0</v>
      </c>
      <c r="BG126" s="393">
        <f>AY124+(($BD$89-AX124)*BA126/AZ126)</f>
        <v>3.0000000000000004</v>
      </c>
    </row>
    <row r="127" spans="1:59" ht="15.75" thickBot="1" x14ac:dyDescent="0.3">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4"/>
      <c r="AC127" s="88"/>
      <c r="AD127" s="88"/>
      <c r="AE127" s="88"/>
      <c r="AF127" s="88"/>
      <c r="AG127" s="88"/>
      <c r="AH127" s="88"/>
      <c r="AI127" s="77"/>
      <c r="AK127" s="208" t="s">
        <v>502</v>
      </c>
      <c r="AM127" s="212">
        <v>0</v>
      </c>
      <c r="AO127" s="437"/>
      <c r="AP127" s="437"/>
      <c r="AQ127" s="437"/>
      <c r="AR127" s="437"/>
      <c r="AS127" s="208" t="s">
        <v>502</v>
      </c>
      <c r="AU127" s="212">
        <v>0</v>
      </c>
      <c r="AW127" s="390">
        <v>3</v>
      </c>
      <c r="AX127" s="388"/>
      <c r="AY127" s="387"/>
      <c r="AZ127" s="387"/>
      <c r="BA127" s="387"/>
      <c r="BB127" s="399"/>
      <c r="BC127" s="381" t="s">
        <v>635</v>
      </c>
      <c r="BD127" s="391">
        <f t="shared" si="0"/>
        <v>0</v>
      </c>
      <c r="BE127" s="391">
        <f>IF(BD89=600,1,0)</f>
        <v>0</v>
      </c>
      <c r="BF127" s="391">
        <f t="shared" si="1"/>
        <v>0</v>
      </c>
      <c r="BG127" s="393">
        <v>3.4</v>
      </c>
    </row>
    <row r="128" spans="1:59" ht="15" x14ac:dyDescent="0.25">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K128" s="208" t="s">
        <v>526</v>
      </c>
      <c r="AM128" s="257">
        <v>0</v>
      </c>
      <c r="AS128" s="208" t="s">
        <v>526</v>
      </c>
      <c r="AU128" s="257">
        <v>0</v>
      </c>
      <c r="AW128" s="390">
        <v>3</v>
      </c>
      <c r="AX128" s="388">
        <v>1000</v>
      </c>
      <c r="AY128" s="387">
        <v>3.5</v>
      </c>
      <c r="AZ128" s="387">
        <f t="shared" ref="AZ128:BA128" si="7">AX128-AX126</f>
        <v>400</v>
      </c>
      <c r="BA128" s="387">
        <f t="shared" si="7"/>
        <v>0.10000000000000009</v>
      </c>
      <c r="BB128" s="399">
        <f t="shared" si="6"/>
        <v>2.5000000000000022E-4</v>
      </c>
      <c r="BC128" s="381" t="s">
        <v>636</v>
      </c>
      <c r="BD128" s="391">
        <f t="shared" si="0"/>
        <v>0</v>
      </c>
      <c r="BE128" s="391">
        <f>IF(AND(BD89&gt;600,BE124&lt;1000),1,0)</f>
        <v>0</v>
      </c>
      <c r="BF128" s="391">
        <f t="shared" si="1"/>
        <v>0</v>
      </c>
      <c r="BG128" s="393">
        <f>AY126+(($BD$89-AX126)*BA128/AZ128)</f>
        <v>3.25</v>
      </c>
    </row>
    <row r="129" spans="1:59" ht="21.75" customHeight="1" x14ac:dyDescent="0.25">
      <c r="B129" s="324" t="s">
        <v>287</v>
      </c>
      <c r="C129" s="34"/>
      <c r="D129" s="138" t="s">
        <v>658</v>
      </c>
      <c r="E129" s="34"/>
      <c r="F129" s="34"/>
      <c r="G129" s="34"/>
      <c r="H129" s="34"/>
      <c r="I129" s="34"/>
      <c r="J129" s="34"/>
      <c r="K129" s="34"/>
      <c r="L129" s="34"/>
      <c r="M129" s="34"/>
      <c r="N129" s="34"/>
      <c r="O129" s="34"/>
      <c r="P129" s="34"/>
      <c r="Q129" s="34"/>
      <c r="R129" s="34"/>
      <c r="S129" s="34"/>
      <c r="T129" s="34"/>
      <c r="U129" s="34"/>
      <c r="V129" s="34"/>
      <c r="W129" s="34"/>
      <c r="X129" s="34"/>
      <c r="Y129" s="34"/>
      <c r="Z129" s="28"/>
      <c r="AA129" s="28"/>
      <c r="AB129" s="34"/>
      <c r="AC129" s="77"/>
      <c r="AD129" s="77"/>
      <c r="AE129" s="28"/>
      <c r="AF129" s="28"/>
      <c r="AG129" s="28"/>
      <c r="AH129" s="28"/>
      <c r="AK129" s="208" t="s">
        <v>527</v>
      </c>
      <c r="AM129" s="257">
        <v>300</v>
      </c>
      <c r="AO129" s="221" t="s">
        <v>330</v>
      </c>
      <c r="AP129" s="221"/>
      <c r="AQ129" s="221"/>
      <c r="AS129" s="208" t="s">
        <v>527</v>
      </c>
      <c r="AU129" s="257">
        <v>300</v>
      </c>
      <c r="AW129" s="390">
        <v>3</v>
      </c>
      <c r="AX129" s="388"/>
      <c r="AY129" s="387"/>
      <c r="AZ129" s="387"/>
      <c r="BA129" s="387"/>
      <c r="BB129" s="399"/>
      <c r="BC129" s="381" t="s">
        <v>637</v>
      </c>
      <c r="BD129" s="391">
        <f t="shared" si="0"/>
        <v>0</v>
      </c>
      <c r="BE129" s="391">
        <f>IF(BD89=1000,1,0)</f>
        <v>0</v>
      </c>
      <c r="BF129" s="391">
        <f t="shared" si="1"/>
        <v>0</v>
      </c>
      <c r="BG129" s="393">
        <v>3.5</v>
      </c>
    </row>
    <row r="130" spans="1:59" ht="15.75" customHeight="1" x14ac:dyDescent="0.25">
      <c r="B130" s="314" t="s">
        <v>544</v>
      </c>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28"/>
      <c r="AA130" s="28"/>
      <c r="AB130" s="28"/>
      <c r="AC130" s="28"/>
      <c r="AD130" s="28"/>
      <c r="AE130" s="28"/>
      <c r="AF130" s="28"/>
      <c r="AG130" s="28"/>
      <c r="AH130" s="28"/>
      <c r="AK130" s="208" t="s">
        <v>528</v>
      </c>
      <c r="AM130" s="257">
        <v>500</v>
      </c>
      <c r="AO130" s="264" t="s">
        <v>303</v>
      </c>
      <c r="AP130" s="331">
        <f>IF(N97&gt;0,U121*1000/N97,0)</f>
        <v>0</v>
      </c>
      <c r="AQ130" s="208" t="s">
        <v>305</v>
      </c>
      <c r="AS130" s="208" t="s">
        <v>528</v>
      </c>
      <c r="AU130" s="257">
        <v>500</v>
      </c>
      <c r="AW130" s="394">
        <v>3</v>
      </c>
      <c r="AX130" s="395"/>
      <c r="AY130" s="395"/>
      <c r="AZ130" s="395"/>
      <c r="BA130" s="395"/>
      <c r="BB130" s="400"/>
      <c r="BC130" s="396" t="s">
        <v>638</v>
      </c>
      <c r="BD130" s="397">
        <f t="shared" si="0"/>
        <v>0</v>
      </c>
      <c r="BE130" s="397">
        <f>IF(BD89&gt;1000,1,0)</f>
        <v>0</v>
      </c>
      <c r="BF130" s="397">
        <f t="shared" si="1"/>
        <v>0</v>
      </c>
      <c r="BG130" s="398">
        <v>3.5</v>
      </c>
    </row>
    <row r="131" spans="1:59" ht="15.75" customHeight="1" x14ac:dyDescent="0.2">
      <c r="B131" s="255"/>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28"/>
      <c r="AA131" s="28"/>
      <c r="AB131" s="28"/>
      <c r="AC131" s="28"/>
      <c r="AD131" s="28"/>
      <c r="AE131" s="28"/>
      <c r="AF131" s="28"/>
      <c r="AG131" s="28"/>
      <c r="AH131" s="28"/>
      <c r="AK131" s="208" t="s">
        <v>529</v>
      </c>
      <c r="AM131" s="257">
        <v>1000</v>
      </c>
      <c r="AO131" s="341" t="s">
        <v>331</v>
      </c>
      <c r="AP131" s="331">
        <f>IF(AP130&gt;12,1,2)</f>
        <v>2</v>
      </c>
      <c r="AQ131" s="208" t="s">
        <v>319</v>
      </c>
      <c r="AS131" s="208" t="s">
        <v>529</v>
      </c>
      <c r="AU131" s="257">
        <v>1000</v>
      </c>
    </row>
    <row r="132" spans="1:59" ht="15.75" customHeight="1" x14ac:dyDescent="0.2">
      <c r="B132" s="77"/>
      <c r="C132" s="77" t="s">
        <v>466</v>
      </c>
      <c r="D132" s="77"/>
      <c r="E132" s="77"/>
      <c r="F132" s="77"/>
      <c r="G132" s="77"/>
      <c r="H132" s="77"/>
      <c r="I132" s="77"/>
      <c r="J132" s="245"/>
      <c r="K132" s="77"/>
      <c r="L132" s="28"/>
      <c r="M132" s="28"/>
      <c r="N132" s="28"/>
      <c r="O132" s="687"/>
      <c r="P132" s="687"/>
      <c r="Q132" s="77" t="s">
        <v>465</v>
      </c>
      <c r="R132" s="77"/>
      <c r="S132" s="30"/>
      <c r="T132" s="30"/>
      <c r="U132" s="28"/>
      <c r="V132" s="28"/>
      <c r="W132" s="28"/>
      <c r="X132" s="28"/>
      <c r="Y132" s="28"/>
      <c r="Z132" s="28"/>
      <c r="AA132" s="28"/>
      <c r="AB132" s="28"/>
      <c r="AC132" s="28"/>
      <c r="AD132" s="28"/>
      <c r="AE132" s="28"/>
      <c r="AF132" s="28"/>
      <c r="AG132" s="28"/>
      <c r="AH132" s="28"/>
      <c r="AO132" s="264" t="s">
        <v>332</v>
      </c>
      <c r="AP132" s="344">
        <f>IFERROR(1-(N119/N117),0)</f>
        <v>0</v>
      </c>
    </row>
    <row r="133" spans="1:59" ht="15" x14ac:dyDescent="0.2">
      <c r="B133" s="77"/>
      <c r="C133" s="77"/>
      <c r="D133" s="77"/>
      <c r="E133" s="77"/>
      <c r="F133" s="77"/>
      <c r="G133" s="77"/>
      <c r="H133" s="77"/>
      <c r="I133" s="77"/>
      <c r="J133" s="245"/>
      <c r="K133" s="77"/>
      <c r="L133" s="253"/>
      <c r="M133" s="253"/>
      <c r="N133" s="77"/>
      <c r="O133" s="77"/>
      <c r="P133" s="253"/>
      <c r="Q133" s="253"/>
      <c r="R133" s="77"/>
      <c r="S133" s="30"/>
      <c r="T133" s="30"/>
      <c r="U133" s="30"/>
      <c r="V133" s="30"/>
      <c r="W133" s="30"/>
      <c r="X133" s="30"/>
      <c r="Y133" s="30"/>
      <c r="Z133" s="28"/>
      <c r="AA133" s="28"/>
      <c r="AB133" s="28"/>
      <c r="AC133" s="28"/>
      <c r="AD133" s="28"/>
      <c r="AE133" s="28"/>
      <c r="AF133" s="28"/>
      <c r="AG133" s="28"/>
      <c r="AH133" s="28"/>
      <c r="AO133" s="208" t="s">
        <v>333</v>
      </c>
      <c r="AP133" s="273">
        <f>IF(AP132&gt;0,1,2)</f>
        <v>2</v>
      </c>
      <c r="AQ133" s="208" t="s">
        <v>319</v>
      </c>
    </row>
    <row r="134" spans="1:59" ht="15" x14ac:dyDescent="0.2">
      <c r="B134" s="199"/>
      <c r="C134" s="77" t="s">
        <v>448</v>
      </c>
      <c r="D134" s="77"/>
      <c r="E134" s="90"/>
      <c r="F134" s="489" t="s">
        <v>449</v>
      </c>
      <c r="G134" s="489"/>
      <c r="H134" s="489" t="s">
        <v>450</v>
      </c>
      <c r="I134" s="489"/>
      <c r="J134" s="489" t="s">
        <v>451</v>
      </c>
      <c r="K134" s="489"/>
      <c r="L134" s="489" t="s">
        <v>452</v>
      </c>
      <c r="M134" s="489"/>
      <c r="N134" s="489" t="s">
        <v>453</v>
      </c>
      <c r="O134" s="489"/>
      <c r="P134" s="489" t="s">
        <v>454</v>
      </c>
      <c r="Q134" s="489"/>
      <c r="R134" s="489" t="s">
        <v>455</v>
      </c>
      <c r="S134" s="489"/>
      <c r="T134" s="489" t="s">
        <v>456</v>
      </c>
      <c r="U134" s="489"/>
      <c r="V134" s="489" t="s">
        <v>457</v>
      </c>
      <c r="W134" s="489"/>
      <c r="X134" s="489" t="s">
        <v>458</v>
      </c>
      <c r="Y134" s="489"/>
      <c r="Z134" s="489" t="s">
        <v>459</v>
      </c>
      <c r="AA134" s="489"/>
      <c r="AB134" s="489" t="s">
        <v>460</v>
      </c>
      <c r="AC134" s="489"/>
      <c r="AD134" s="489" t="s">
        <v>461</v>
      </c>
      <c r="AE134" s="489"/>
      <c r="AF134" s="28"/>
      <c r="AG134" s="28"/>
      <c r="AH134" s="28"/>
      <c r="AK134" s="266" t="s">
        <v>338</v>
      </c>
      <c r="AO134" s="208" t="s">
        <v>337</v>
      </c>
      <c r="AP134" s="273">
        <f>IF(AND(AK107&lt;&gt;0,B108=AK136),(VLOOKUP(B107,AS127:AU131,3,FALSE))*N101,0)</f>
        <v>0</v>
      </c>
      <c r="AQ134" s="208" t="s">
        <v>216</v>
      </c>
    </row>
    <row r="135" spans="1:59" ht="15" x14ac:dyDescent="0.2">
      <c r="B135" s="199"/>
      <c r="C135" s="28"/>
      <c r="D135" s="28"/>
      <c r="E135" s="28"/>
      <c r="F135" s="494"/>
      <c r="G135" s="494"/>
      <c r="H135" s="494"/>
      <c r="I135" s="494"/>
      <c r="J135" s="494"/>
      <c r="K135" s="494"/>
      <c r="L135" s="494"/>
      <c r="M135" s="494"/>
      <c r="N135" s="494"/>
      <c r="O135" s="494"/>
      <c r="P135" s="494"/>
      <c r="Q135" s="494"/>
      <c r="R135" s="494"/>
      <c r="S135" s="494"/>
      <c r="T135" s="494"/>
      <c r="U135" s="494"/>
      <c r="V135" s="494"/>
      <c r="W135" s="494"/>
      <c r="X135" s="494"/>
      <c r="Y135" s="494"/>
      <c r="Z135" s="494"/>
      <c r="AA135" s="494"/>
      <c r="AB135" s="494"/>
      <c r="AC135" s="494"/>
      <c r="AD135" s="489">
        <f>SUM(F135:AC135)</f>
        <v>0</v>
      </c>
      <c r="AE135" s="489"/>
      <c r="AF135" s="497" t="s">
        <v>45</v>
      </c>
      <c r="AG135" s="497"/>
      <c r="AH135" s="497"/>
      <c r="AK135" s="208" t="s">
        <v>502</v>
      </c>
      <c r="AO135" s="329" t="s">
        <v>302</v>
      </c>
      <c r="AP135" s="330">
        <f>IF(AP131=2,(AK103+AP134),IF(AP133=2,(AK103+AP134),(AK103+(AK103*AP132)+AP134)))</f>
        <v>0</v>
      </c>
      <c r="AQ135" s="221" t="s">
        <v>45</v>
      </c>
    </row>
    <row r="136" spans="1:59" ht="15" x14ac:dyDescent="0.2">
      <c r="B136" s="256"/>
      <c r="C136" s="28"/>
      <c r="D136" s="28"/>
      <c r="E136" s="28"/>
      <c r="F136" s="490" t="str">
        <f>IFERROR(F135/$O$132,"")</f>
        <v/>
      </c>
      <c r="G136" s="490"/>
      <c r="H136" s="490" t="str">
        <f>IFERROR(H135/$O$132,"")</f>
        <v/>
      </c>
      <c r="I136" s="490"/>
      <c r="J136" s="490" t="str">
        <f>IFERROR(J135/$O$132,"")</f>
        <v/>
      </c>
      <c r="K136" s="490"/>
      <c r="L136" s="490" t="str">
        <f>IFERROR(L135/$O$132,"")</f>
        <v/>
      </c>
      <c r="M136" s="490"/>
      <c r="N136" s="490" t="str">
        <f>IFERROR(N135/$O$132,"")</f>
        <v/>
      </c>
      <c r="O136" s="490"/>
      <c r="P136" s="490" t="str">
        <f>IFERROR(P135/$O$132,"")</f>
        <v/>
      </c>
      <c r="Q136" s="490"/>
      <c r="R136" s="490" t="str">
        <f>IFERROR(R135/$O$132,"")</f>
        <v/>
      </c>
      <c r="S136" s="490"/>
      <c r="T136" s="490" t="str">
        <f>IFERROR(T135/$O$132,"")</f>
        <v/>
      </c>
      <c r="U136" s="490"/>
      <c r="V136" s="490" t="str">
        <f>IFERROR(V135/$O$132,"")</f>
        <v/>
      </c>
      <c r="W136" s="490"/>
      <c r="X136" s="490" t="str">
        <f>IFERROR(X135/$O$132,"")</f>
        <v/>
      </c>
      <c r="Y136" s="490"/>
      <c r="Z136" s="490" t="str">
        <f>IFERROR(Z135/$O$132,"")</f>
        <v/>
      </c>
      <c r="AA136" s="490"/>
      <c r="AB136" s="490" t="str">
        <f>IFERROR(AB135/$O$132,"")</f>
        <v/>
      </c>
      <c r="AC136" s="490"/>
      <c r="AD136" s="681" t="str">
        <f>IFERROR(AD135/$O$132,"")</f>
        <v/>
      </c>
      <c r="AE136" s="681"/>
      <c r="AF136" s="685" t="s">
        <v>467</v>
      </c>
      <c r="AG136" s="685"/>
      <c r="AH136" s="685"/>
      <c r="AK136" s="209" t="s">
        <v>525</v>
      </c>
      <c r="AO136" s="329" t="s">
        <v>304</v>
      </c>
      <c r="AP136" s="330">
        <f>AL103</f>
        <v>0</v>
      </c>
      <c r="AQ136" s="221" t="s">
        <v>45</v>
      </c>
    </row>
    <row r="137" spans="1:59" ht="12.75" x14ac:dyDescent="0.2">
      <c r="B137" s="28"/>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77"/>
      <c r="AF137" s="77"/>
      <c r="AG137" s="77"/>
      <c r="AH137" s="77"/>
      <c r="AI137" s="77"/>
      <c r="AK137" s="209" t="s">
        <v>703</v>
      </c>
    </row>
    <row r="138" spans="1:59" ht="15" x14ac:dyDescent="0.2">
      <c r="A138" s="77"/>
      <c r="B138" s="199" t="s">
        <v>463</v>
      </c>
      <c r="C138" s="268"/>
      <c r="D138" s="271"/>
      <c r="E138" s="199"/>
      <c r="F138" s="270"/>
      <c r="G138" s="256"/>
      <c r="H138" s="256"/>
      <c r="I138" s="256"/>
      <c r="J138" s="256"/>
      <c r="K138" s="684">
        <f>IF(AV161=1,(IF(AD135=0,"?",ROUND(AP168,10))),ROUND(AP168,10))</f>
        <v>0</v>
      </c>
      <c r="L138" s="684"/>
      <c r="M138" s="684"/>
      <c r="N138" s="256" t="s">
        <v>693</v>
      </c>
      <c r="O138" s="271"/>
      <c r="P138" s="28"/>
      <c r="Q138" s="28"/>
      <c r="R138" s="28"/>
      <c r="S138" s="271"/>
      <c r="T138" s="256"/>
      <c r="U138" s="256"/>
      <c r="V138" s="256"/>
      <c r="W138" s="256"/>
      <c r="X138" s="256"/>
      <c r="Y138" s="256"/>
      <c r="Z138" s="270"/>
      <c r="AA138" s="270"/>
      <c r="AB138" s="270"/>
      <c r="AC138" s="270"/>
      <c r="AD138" s="270"/>
      <c r="AE138" s="270"/>
      <c r="AF138" s="270"/>
      <c r="AG138" s="270"/>
      <c r="AH138" s="270"/>
      <c r="AI138" s="271"/>
      <c r="AK138" s="209" t="s">
        <v>519</v>
      </c>
      <c r="AN138" s="219"/>
      <c r="AO138" s="264"/>
      <c r="AP138" s="290"/>
    </row>
    <row r="139" spans="1:59" ht="15" x14ac:dyDescent="0.2">
      <c r="A139" s="77"/>
      <c r="B139" s="348" t="str">
        <f>IF(ISBLANK(B107),"Problem mit Dateneingabe in Block 3b, Formular ungültig!","")</f>
        <v/>
      </c>
      <c r="C139" s="268"/>
      <c r="D139" s="271"/>
      <c r="E139" s="199"/>
      <c r="F139" s="270"/>
      <c r="G139" s="256"/>
      <c r="H139" s="256"/>
      <c r="I139" s="256"/>
      <c r="J139" s="256"/>
      <c r="K139" s="319" t="str">
        <f>IF(K138="?","Vervollständigen Sie die Solarsimulation vor Ort, damit die Berechnung durchgeführt werden kann","")</f>
        <v/>
      </c>
      <c r="L139" s="318"/>
      <c r="M139" s="318"/>
      <c r="O139" s="271"/>
      <c r="P139" s="28"/>
      <c r="Q139" s="28"/>
      <c r="R139" s="28"/>
      <c r="S139" s="271"/>
      <c r="T139" s="256"/>
      <c r="U139" s="256"/>
      <c r="V139" s="256"/>
      <c r="W139" s="256"/>
      <c r="X139" s="256"/>
      <c r="Y139" s="256"/>
      <c r="Z139" s="270"/>
      <c r="AB139" s="270"/>
      <c r="AC139" s="270"/>
      <c r="AD139" s="270"/>
      <c r="AE139" s="270"/>
      <c r="AF139" s="270"/>
      <c r="AG139" s="270"/>
      <c r="AH139" s="270"/>
      <c r="AI139" s="271"/>
      <c r="AK139" s="209" t="s">
        <v>520</v>
      </c>
      <c r="AO139" s="264"/>
      <c r="AP139" s="262"/>
    </row>
    <row r="140" spans="1:59" ht="12.75" x14ac:dyDescent="0.2">
      <c r="B140" s="682" t="s">
        <v>462</v>
      </c>
      <c r="C140" s="682"/>
      <c r="D140" s="682"/>
      <c r="E140" s="682"/>
      <c r="F140" s="682"/>
      <c r="G140" s="682"/>
      <c r="H140" s="682"/>
      <c r="I140" s="682"/>
      <c r="J140" s="682"/>
      <c r="K140" s="682"/>
      <c r="L140" s="682"/>
      <c r="M140" s="682"/>
      <c r="N140" s="682"/>
      <c r="O140" s="682"/>
      <c r="P140" s="682"/>
      <c r="Q140" s="682"/>
      <c r="R140" s="682"/>
      <c r="S140" s="682"/>
      <c r="T140" s="682"/>
      <c r="U140" s="682"/>
      <c r="V140" s="682"/>
      <c r="W140" s="682"/>
      <c r="X140" s="682"/>
      <c r="Y140" s="682"/>
      <c r="Z140" s="682"/>
      <c r="AA140" s="682"/>
      <c r="AB140" s="682"/>
      <c r="AC140" s="682"/>
      <c r="AD140" s="682"/>
      <c r="AE140" s="682"/>
      <c r="AF140" s="682"/>
      <c r="AG140" s="682"/>
      <c r="AH140" s="682"/>
      <c r="AI140" s="77"/>
      <c r="AK140" s="209" t="s">
        <v>521</v>
      </c>
      <c r="AO140" s="264"/>
      <c r="AP140" s="262"/>
    </row>
    <row r="141" spans="1:59" ht="13.5" thickBot="1" x14ac:dyDescent="0.25">
      <c r="B141" s="683"/>
      <c r="C141" s="683"/>
      <c r="D141" s="683"/>
      <c r="E141" s="683"/>
      <c r="F141" s="683"/>
      <c r="G141" s="683"/>
      <c r="H141" s="683"/>
      <c r="I141" s="683"/>
      <c r="J141" s="683"/>
      <c r="K141" s="683"/>
      <c r="L141" s="683"/>
      <c r="M141" s="683"/>
      <c r="N141" s="683"/>
      <c r="O141" s="683"/>
      <c r="P141" s="683"/>
      <c r="Q141" s="683"/>
      <c r="R141" s="683"/>
      <c r="S141" s="683"/>
      <c r="T141" s="683"/>
      <c r="U141" s="683"/>
      <c r="V141" s="683"/>
      <c r="W141" s="683"/>
      <c r="X141" s="683"/>
      <c r="Y141" s="683"/>
      <c r="Z141" s="683"/>
      <c r="AA141" s="683"/>
      <c r="AB141" s="683"/>
      <c r="AC141" s="683"/>
      <c r="AD141" s="683"/>
      <c r="AE141" s="683"/>
      <c r="AF141" s="683"/>
      <c r="AG141" s="683"/>
      <c r="AH141" s="683"/>
      <c r="AI141" s="77"/>
      <c r="AK141" s="209" t="s">
        <v>522</v>
      </c>
      <c r="AO141" s="264"/>
      <c r="AP141" s="312"/>
    </row>
    <row r="142" spans="1:59" ht="14.25" x14ac:dyDescent="0.2">
      <c r="A142" s="77"/>
      <c r="B142" s="270"/>
      <c r="C142" s="270"/>
      <c r="D142" s="270"/>
      <c r="E142" s="270"/>
      <c r="F142" s="270"/>
      <c r="G142" s="270"/>
      <c r="H142" s="270"/>
      <c r="I142" s="270"/>
      <c r="J142" s="270"/>
      <c r="K142" s="270"/>
      <c r="L142" s="270"/>
      <c r="M142" s="270"/>
      <c r="N142" s="270"/>
      <c r="O142" s="270"/>
      <c r="P142" s="270"/>
      <c r="Q142" s="270"/>
      <c r="R142" s="270"/>
      <c r="S142" s="270"/>
      <c r="T142" s="270"/>
      <c r="U142" s="270"/>
      <c r="V142" s="270"/>
      <c r="W142" s="270"/>
      <c r="X142" s="270"/>
      <c r="Y142" s="270"/>
      <c r="Z142" s="270"/>
      <c r="AA142" s="270"/>
      <c r="AB142" s="270"/>
      <c r="AC142" s="270"/>
      <c r="AD142" s="270"/>
      <c r="AE142" s="270"/>
      <c r="AF142" s="270"/>
      <c r="AG142" s="270"/>
      <c r="AH142" s="270"/>
      <c r="AI142" s="271"/>
      <c r="AK142" s="209" t="s">
        <v>523</v>
      </c>
      <c r="AO142" s="209"/>
      <c r="AP142" s="312"/>
    </row>
    <row r="143" spans="1:59" ht="18" x14ac:dyDescent="0.2">
      <c r="A143" s="77"/>
      <c r="B143" s="138" t="s">
        <v>545</v>
      </c>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28"/>
      <c r="AA143" s="28"/>
      <c r="AB143" s="28"/>
      <c r="AC143" s="28"/>
      <c r="AD143" s="28"/>
      <c r="AE143" s="28"/>
      <c r="AF143" s="28"/>
      <c r="AG143" s="28"/>
      <c r="AH143" s="270"/>
      <c r="AI143" s="271"/>
      <c r="AK143" s="209" t="s">
        <v>349</v>
      </c>
      <c r="AO143" s="264"/>
      <c r="AP143" s="312"/>
    </row>
    <row r="144" spans="1:59" ht="16.350000000000001" customHeight="1" x14ac:dyDescent="0.2">
      <c r="A144" s="77"/>
      <c r="B144" s="138"/>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28"/>
      <c r="AA144" s="28"/>
      <c r="AB144" s="28"/>
      <c r="AC144" s="28"/>
      <c r="AD144" s="28"/>
      <c r="AE144" s="28"/>
      <c r="AF144" s="28"/>
      <c r="AG144" s="28"/>
      <c r="AH144" s="270"/>
      <c r="AI144" s="271"/>
      <c r="AO144" s="264"/>
      <c r="AP144" s="312"/>
    </row>
    <row r="145" spans="1:47" ht="15" x14ac:dyDescent="0.2">
      <c r="A145" s="28"/>
      <c r="B145" s="28"/>
      <c r="C145" s="132" t="s">
        <v>474</v>
      </c>
      <c r="D145" s="132"/>
      <c r="E145" s="133"/>
      <c r="F145" s="133"/>
      <c r="G145" s="133"/>
      <c r="H145" s="133"/>
      <c r="I145" s="133"/>
      <c r="J145" s="133"/>
      <c r="K145" s="133"/>
      <c r="L145" s="133"/>
      <c r="M145" s="133"/>
      <c r="N145" s="133"/>
      <c r="O145" s="133"/>
      <c r="P145" s="133"/>
      <c r="Q145" s="133"/>
      <c r="R145" s="133"/>
      <c r="S145" s="133"/>
      <c r="T145" s="133"/>
      <c r="U145" s="133"/>
      <c r="V145" s="133"/>
      <c r="W145" s="133"/>
      <c r="X145" s="133"/>
      <c r="Y145" s="102"/>
      <c r="Z145" s="28"/>
      <c r="AA145" s="28"/>
      <c r="AB145" s="405"/>
      <c r="AC145" s="405"/>
      <c r="AD145" s="405"/>
      <c r="AE145" s="405"/>
      <c r="AF145" s="405"/>
      <c r="AG145" s="405"/>
      <c r="AH145" s="28"/>
      <c r="AJ145" s="208" t="b">
        <v>0</v>
      </c>
    </row>
    <row r="146" spans="1:47" ht="15" x14ac:dyDescent="0.2">
      <c r="B146" s="28"/>
      <c r="C146" s="134" t="s">
        <v>660</v>
      </c>
      <c r="D146" s="134"/>
      <c r="E146" s="133"/>
      <c r="F146" s="133"/>
      <c r="G146" s="133"/>
      <c r="H146" s="133"/>
      <c r="I146" s="133"/>
      <c r="J146" s="133"/>
      <c r="K146" s="133"/>
      <c r="L146" s="133"/>
      <c r="M146" s="133"/>
      <c r="N146" s="133"/>
      <c r="O146" s="133"/>
      <c r="P146" s="133"/>
      <c r="Q146" s="133"/>
      <c r="R146" s="133"/>
      <c r="S146" s="133"/>
      <c r="T146" s="133"/>
      <c r="U146" s="133"/>
      <c r="V146" s="133"/>
      <c r="W146" s="133"/>
      <c r="X146" s="133"/>
      <c r="Y146" s="102"/>
      <c r="Z146" s="28"/>
      <c r="AA146" s="28"/>
      <c r="AB146" s="405"/>
      <c r="AC146" s="405"/>
      <c r="AD146" s="405"/>
      <c r="AE146" s="405"/>
      <c r="AF146" s="405"/>
      <c r="AG146" s="405"/>
      <c r="AH146" s="28"/>
      <c r="AL146" s="336" t="s">
        <v>221</v>
      </c>
      <c r="AM146" s="325"/>
      <c r="AN146" s="325"/>
      <c r="AO146" s="325"/>
      <c r="AP146" s="325"/>
      <c r="AQ146" s="326"/>
    </row>
    <row r="147" spans="1:47" ht="12.75" x14ac:dyDescent="0.2">
      <c r="B147" s="28"/>
      <c r="C147" s="52"/>
      <c r="D147" s="752" t="str">
        <f>IF(AJ145=TRUE,"Unterlagen nach kEnV Art.59 Ab.2 einreichen und die erwartete Produktion (siehe anderes Excel-Register) angeben, eine Vormeinung des DEWK ist erforderlich","")</f>
        <v/>
      </c>
      <c r="E147" s="752"/>
      <c r="F147" s="752"/>
      <c r="G147" s="752"/>
      <c r="H147" s="752"/>
      <c r="I147" s="752"/>
      <c r="J147" s="752"/>
      <c r="K147" s="752"/>
      <c r="L147" s="752"/>
      <c r="M147" s="752"/>
      <c r="N147" s="752"/>
      <c r="O147" s="752"/>
      <c r="P147" s="752"/>
      <c r="Q147" s="752"/>
      <c r="R147" s="752"/>
      <c r="S147" s="752"/>
      <c r="T147" s="752"/>
      <c r="U147" s="752"/>
      <c r="V147" s="752"/>
      <c r="W147" s="752"/>
      <c r="X147" s="752"/>
      <c r="Y147" s="752"/>
      <c r="Z147" s="752"/>
      <c r="AA147" s="752"/>
      <c r="AB147" s="752"/>
      <c r="AC147" s="752"/>
      <c r="AD147" s="752"/>
      <c r="AE147" s="752"/>
      <c r="AF147" s="752"/>
      <c r="AG147" s="752"/>
      <c r="AH147" s="28"/>
      <c r="AL147" s="275"/>
      <c r="AQ147" s="276"/>
    </row>
    <row r="148" spans="1:47" ht="12.75" x14ac:dyDescent="0.2">
      <c r="B148" s="28"/>
      <c r="C148" s="52"/>
      <c r="D148" s="752"/>
      <c r="E148" s="752"/>
      <c r="F148" s="752"/>
      <c r="G148" s="752"/>
      <c r="H148" s="752"/>
      <c r="I148" s="752"/>
      <c r="J148" s="752"/>
      <c r="K148" s="752"/>
      <c r="L148" s="752"/>
      <c r="M148" s="752"/>
      <c r="N148" s="752"/>
      <c r="O148" s="752"/>
      <c r="P148" s="752"/>
      <c r="Q148" s="752"/>
      <c r="R148" s="752"/>
      <c r="S148" s="752"/>
      <c r="T148" s="752"/>
      <c r="U148" s="752"/>
      <c r="V148" s="752"/>
      <c r="W148" s="752"/>
      <c r="X148" s="752"/>
      <c r="Y148" s="752"/>
      <c r="Z148" s="752"/>
      <c r="AA148" s="752"/>
      <c r="AB148" s="752"/>
      <c r="AC148" s="752"/>
      <c r="AD148" s="752"/>
      <c r="AE148" s="752"/>
      <c r="AF148" s="752"/>
      <c r="AG148" s="752"/>
      <c r="AH148" s="28"/>
      <c r="AL148" s="275"/>
      <c r="AQ148" s="276"/>
    </row>
    <row r="149" spans="1:47" s="208" customFormat="1" ht="12.75" x14ac:dyDescent="0.2">
      <c r="A149" s="62"/>
      <c r="B149" s="28"/>
      <c r="C149" s="28"/>
      <c r="D149" s="189" t="str">
        <f>IF(AJ145=TRUE,"Keine Teilnahme möglich bei Ersatz einer Elektroheizung mit der Standardlösung Nr. 3","")</f>
        <v/>
      </c>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15"/>
      <c r="AL149" s="275"/>
      <c r="AM149" s="208" t="s">
        <v>201</v>
      </c>
      <c r="AN149" s="212">
        <f>SUM(X135:AC135,F135:M135)</f>
        <v>0</v>
      </c>
      <c r="AO149" s="208" t="s">
        <v>45</v>
      </c>
      <c r="AP149" s="223" t="e">
        <f>AN149/$O$132</f>
        <v>#DIV/0!</v>
      </c>
      <c r="AQ149" s="276" t="s">
        <v>467</v>
      </c>
      <c r="AR149" s="208" t="s">
        <v>212</v>
      </c>
      <c r="AS149" s="208" t="s">
        <v>192</v>
      </c>
    </row>
    <row r="150" spans="1:47" s="208" customFormat="1" ht="15" x14ac:dyDescent="0.2">
      <c r="A150" s="77"/>
      <c r="B150" s="686"/>
      <c r="C150" s="686"/>
      <c r="D150" s="686"/>
      <c r="E150" s="686"/>
      <c r="F150" s="686"/>
      <c r="G150" s="686"/>
      <c r="H150" s="686"/>
      <c r="I150" s="686"/>
      <c r="J150" s="686"/>
      <c r="K150" s="686"/>
      <c r="L150" s="686"/>
      <c r="M150" s="686"/>
      <c r="N150" s="686"/>
      <c r="O150" s="686"/>
      <c r="P150" s="686"/>
      <c r="Q150" s="686"/>
      <c r="R150" s="686"/>
      <c r="S150" s="686"/>
      <c r="T150" s="686"/>
      <c r="U150" s="686"/>
      <c r="V150" s="686"/>
      <c r="W150" s="686"/>
      <c r="X150" s="686"/>
      <c r="Y150" s="686"/>
      <c r="Z150" s="28"/>
      <c r="AA150" s="28"/>
      <c r="AB150" s="28"/>
      <c r="AC150" s="28"/>
      <c r="AD150" s="28"/>
      <c r="AE150" s="28"/>
      <c r="AF150" s="28"/>
      <c r="AG150" s="28"/>
      <c r="AH150" s="270"/>
      <c r="AI150" s="271"/>
      <c r="AJ150" s="15"/>
      <c r="AL150" s="275"/>
      <c r="AM150" s="208" t="s">
        <v>201</v>
      </c>
      <c r="AN150" s="212">
        <f>SUM(V135:AC135,F135:O135)</f>
        <v>0</v>
      </c>
      <c r="AO150" s="208" t="s">
        <v>45</v>
      </c>
      <c r="AP150" s="223" t="e">
        <f>AN150/$O$132</f>
        <v>#DIV/0!</v>
      </c>
      <c r="AQ150" s="276" t="s">
        <v>467</v>
      </c>
      <c r="AR150" s="208" t="s">
        <v>213</v>
      </c>
      <c r="AS150" s="208" t="s">
        <v>193</v>
      </c>
    </row>
    <row r="151" spans="1:47" s="208" customFormat="1" ht="15" x14ac:dyDescent="0.2">
      <c r="A151" s="77"/>
      <c r="B151" s="100"/>
      <c r="C151" s="100" t="s">
        <v>669</v>
      </c>
      <c r="D151" s="30"/>
      <c r="E151" s="30"/>
      <c r="F151" s="30"/>
      <c r="G151" s="30"/>
      <c r="H151" s="30"/>
      <c r="I151" s="30"/>
      <c r="J151" s="30"/>
      <c r="K151" s="30"/>
      <c r="L151" s="30"/>
      <c r="M151" s="30"/>
      <c r="N151" s="30"/>
      <c r="O151" s="30"/>
      <c r="P151" s="30"/>
      <c r="Q151" s="30"/>
      <c r="R151" s="30"/>
      <c r="S151" s="30"/>
      <c r="T151" s="30"/>
      <c r="U151" s="30"/>
      <c r="V151" s="30"/>
      <c r="W151" s="30"/>
      <c r="X151" s="30"/>
      <c r="Y151" s="30"/>
      <c r="Z151" s="28"/>
      <c r="AA151" s="28"/>
      <c r="AB151" s="28"/>
      <c r="AC151" s="28"/>
      <c r="AD151" s="28"/>
      <c r="AE151" s="28"/>
      <c r="AF151" s="28"/>
      <c r="AG151" s="28"/>
      <c r="AH151" s="270"/>
      <c r="AI151" s="271"/>
      <c r="AJ151" s="15"/>
      <c r="AL151" s="275"/>
      <c r="AM151" s="208" t="s">
        <v>47</v>
      </c>
      <c r="AN151" s="212">
        <f>SUM(L135:W135)</f>
        <v>0</v>
      </c>
      <c r="AO151" s="208" t="s">
        <v>45</v>
      </c>
      <c r="AP151" s="223" t="e">
        <f>AN151/$O$132</f>
        <v>#DIV/0!</v>
      </c>
      <c r="AQ151" s="276" t="s">
        <v>467</v>
      </c>
      <c r="AR151" s="208" t="s">
        <v>214</v>
      </c>
    </row>
    <row r="152" spans="1:47" s="208" customFormat="1" ht="15.75" x14ac:dyDescent="0.2">
      <c r="A152" s="7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28"/>
      <c r="AA152" s="28"/>
      <c r="AB152" s="28"/>
      <c r="AC152" s="28"/>
      <c r="AD152" s="28"/>
      <c r="AE152" s="28"/>
      <c r="AF152" s="28"/>
      <c r="AG152" s="28"/>
      <c r="AH152" s="270"/>
      <c r="AI152" s="271"/>
      <c r="AJ152" s="15"/>
      <c r="AL152" s="275"/>
      <c r="AM152" s="208" t="s">
        <v>219</v>
      </c>
      <c r="AN152" s="212">
        <f>SUM(Z135:AC135,F135:I135)</f>
        <v>0</v>
      </c>
      <c r="AO152" s="208" t="s">
        <v>45</v>
      </c>
      <c r="AP152" s="223" t="e">
        <f>AN152/$O$132</f>
        <v>#DIV/0!</v>
      </c>
      <c r="AQ152" s="276" t="s">
        <v>467</v>
      </c>
      <c r="AR152" s="208" t="s">
        <v>215</v>
      </c>
    </row>
    <row r="153" spans="1:47" s="208" customFormat="1" ht="14.25" x14ac:dyDescent="0.2">
      <c r="A153" s="77"/>
      <c r="B153" s="498" t="s">
        <v>546</v>
      </c>
      <c r="C153" s="499"/>
      <c r="D153" s="499"/>
      <c r="E153" s="499"/>
      <c r="F153" s="500"/>
      <c r="G153" s="498" t="s">
        <v>471</v>
      </c>
      <c r="H153" s="499"/>
      <c r="I153" s="499"/>
      <c r="J153" s="498" t="s">
        <v>556</v>
      </c>
      <c r="K153" s="499"/>
      <c r="L153" s="499"/>
      <c r="M153" s="499"/>
      <c r="N153" s="500"/>
      <c r="O153" s="498" t="s">
        <v>557</v>
      </c>
      <c r="P153" s="499"/>
      <c r="Q153" s="499"/>
      <c r="R153" s="499"/>
      <c r="S153" s="500"/>
      <c r="T153" s="498" t="s">
        <v>472</v>
      </c>
      <c r="U153" s="499"/>
      <c r="V153" s="499"/>
      <c r="W153" s="499"/>
      <c r="X153" s="499"/>
      <c r="Y153" s="499"/>
      <c r="Z153" s="500"/>
      <c r="AA153" s="28"/>
      <c r="AB153" s="680" t="s">
        <v>547</v>
      </c>
      <c r="AC153" s="680"/>
      <c r="AD153" s="680"/>
      <c r="AE153" s="680"/>
      <c r="AF153" s="680"/>
      <c r="AG153" s="680"/>
      <c r="AH153" s="270"/>
      <c r="AI153" s="271"/>
      <c r="AJ153" s="15"/>
      <c r="AL153" s="277"/>
      <c r="AM153" s="278"/>
      <c r="AN153" s="278"/>
      <c r="AO153" s="278"/>
      <c r="AP153" s="278"/>
      <c r="AQ153" s="279"/>
    </row>
    <row r="154" spans="1:47" s="208" customFormat="1" ht="14.25" x14ac:dyDescent="0.2">
      <c r="A154" s="77"/>
      <c r="B154" s="501"/>
      <c r="C154" s="502"/>
      <c r="D154" s="502"/>
      <c r="E154" s="502"/>
      <c r="F154" s="503"/>
      <c r="G154" s="501"/>
      <c r="H154" s="502"/>
      <c r="I154" s="502"/>
      <c r="J154" s="501"/>
      <c r="K154" s="502"/>
      <c r="L154" s="502"/>
      <c r="M154" s="502"/>
      <c r="N154" s="503"/>
      <c r="O154" s="501"/>
      <c r="P154" s="502"/>
      <c r="Q154" s="502"/>
      <c r="R154" s="502"/>
      <c r="S154" s="503"/>
      <c r="T154" s="501"/>
      <c r="U154" s="502"/>
      <c r="V154" s="502"/>
      <c r="W154" s="502"/>
      <c r="X154" s="502"/>
      <c r="Y154" s="502"/>
      <c r="Z154" s="503"/>
      <c r="AA154" s="28"/>
      <c r="AB154" s="680"/>
      <c r="AC154" s="680"/>
      <c r="AD154" s="680"/>
      <c r="AE154" s="680"/>
      <c r="AF154" s="680"/>
      <c r="AG154" s="680"/>
      <c r="AH154" s="270"/>
      <c r="AI154" s="271"/>
      <c r="AJ154" s="15"/>
      <c r="AN154" s="260"/>
    </row>
    <row r="155" spans="1:47" s="208" customFormat="1" ht="16.350000000000001" customHeight="1" x14ac:dyDescent="0.2">
      <c r="A155" s="77"/>
      <c r="B155" s="692"/>
      <c r="C155" s="693"/>
      <c r="D155" s="693"/>
      <c r="E155" s="693"/>
      <c r="F155" s="694"/>
      <c r="G155" s="707"/>
      <c r="H155" s="707"/>
      <c r="I155" s="707"/>
      <c r="J155" s="708"/>
      <c r="K155" s="709"/>
      <c r="L155" s="709"/>
      <c r="M155" s="709"/>
      <c r="N155" s="710"/>
      <c r="O155" s="507">
        <f>G155*J155/1000</f>
        <v>0</v>
      </c>
      <c r="P155" s="508"/>
      <c r="Q155" s="508"/>
      <c r="R155" s="508"/>
      <c r="S155" s="509"/>
      <c r="T155" s="511" t="str">
        <f>IF(AD136&gt;1,AD136,"")</f>
        <v/>
      </c>
      <c r="U155" s="512"/>
      <c r="V155" s="512"/>
      <c r="W155" s="512"/>
      <c r="X155" s="512"/>
      <c r="Y155" s="512"/>
      <c r="Z155" s="513"/>
      <c r="AA155" s="28"/>
      <c r="AB155" s="510">
        <f>IFERROR(T155*O155,0)</f>
        <v>0</v>
      </c>
      <c r="AC155" s="510"/>
      <c r="AD155" s="510"/>
      <c r="AE155" s="510"/>
      <c r="AF155" s="510"/>
      <c r="AG155" s="510"/>
      <c r="AH155" s="270"/>
      <c r="AI155" s="271"/>
      <c r="AJ155" s="349"/>
    </row>
    <row r="156" spans="1:47" s="208" customFormat="1" ht="16.350000000000001" customHeight="1" x14ac:dyDescent="0.2">
      <c r="A156" s="77"/>
      <c r="B156" s="577"/>
      <c r="C156" s="578"/>
      <c r="D156" s="578"/>
      <c r="E156" s="578"/>
      <c r="F156" s="579"/>
      <c r="G156" s="580"/>
      <c r="H156" s="580"/>
      <c r="I156" s="580"/>
      <c r="J156" s="581"/>
      <c r="K156" s="582"/>
      <c r="L156" s="582"/>
      <c r="M156" s="582"/>
      <c r="N156" s="583"/>
      <c r="O156" s="507">
        <f>G156*J156/1000</f>
        <v>0</v>
      </c>
      <c r="P156" s="508"/>
      <c r="Q156" s="508"/>
      <c r="R156" s="508"/>
      <c r="S156" s="509"/>
      <c r="T156" s="504" t="str">
        <f>IF(AD136&gt;1,AD136,"")</f>
        <v/>
      </c>
      <c r="U156" s="505"/>
      <c r="V156" s="505"/>
      <c r="W156" s="505"/>
      <c r="X156" s="505"/>
      <c r="Y156" s="505"/>
      <c r="Z156" s="506"/>
      <c r="AA156" s="28"/>
      <c r="AB156" s="510">
        <f>IFERROR(G156*J156/1000*T156,0)</f>
        <v>0</v>
      </c>
      <c r="AC156" s="510"/>
      <c r="AD156" s="510"/>
      <c r="AE156" s="510"/>
      <c r="AF156" s="510"/>
      <c r="AG156" s="510"/>
      <c r="AH156" s="270"/>
      <c r="AI156" s="271"/>
      <c r="AJ156" s="209"/>
      <c r="AK156" s="212"/>
      <c r="AM156" s="273" t="s">
        <v>222</v>
      </c>
      <c r="AN156" s="273"/>
      <c r="AO156" s="273"/>
      <c r="AP156" s="273"/>
      <c r="AQ156" s="273"/>
    </row>
    <row r="157" spans="1:47" s="208" customFormat="1" ht="16.350000000000001" customHeight="1" x14ac:dyDescent="0.2">
      <c r="A157" s="77"/>
      <c r="B157" s="577"/>
      <c r="C157" s="578"/>
      <c r="D157" s="578"/>
      <c r="E157" s="578"/>
      <c r="F157" s="579"/>
      <c r="G157" s="580"/>
      <c r="H157" s="580"/>
      <c r="I157" s="580"/>
      <c r="J157" s="581"/>
      <c r="K157" s="582"/>
      <c r="L157" s="582"/>
      <c r="M157" s="582"/>
      <c r="N157" s="583"/>
      <c r="O157" s="507">
        <f t="shared" ref="O157:O158" si="8">G157*J157/1000</f>
        <v>0</v>
      </c>
      <c r="P157" s="508"/>
      <c r="Q157" s="508"/>
      <c r="R157" s="508"/>
      <c r="S157" s="509"/>
      <c r="T157" s="504" t="str">
        <f>IF(AD136&gt;1,AD136,"")</f>
        <v/>
      </c>
      <c r="U157" s="505"/>
      <c r="V157" s="505"/>
      <c r="W157" s="505"/>
      <c r="X157" s="505"/>
      <c r="Y157" s="505"/>
      <c r="Z157" s="506"/>
      <c r="AA157" s="28"/>
      <c r="AB157" s="510">
        <f>IFERROR(G157*J157/1000*T157,0)</f>
        <v>0</v>
      </c>
      <c r="AC157" s="510"/>
      <c r="AD157" s="510"/>
      <c r="AE157" s="510"/>
      <c r="AF157" s="510"/>
      <c r="AG157" s="510"/>
      <c r="AH157" s="270"/>
      <c r="AI157" s="271"/>
      <c r="AJ157" s="209"/>
      <c r="AK157" s="212"/>
    </row>
    <row r="158" spans="1:47" s="208" customFormat="1" ht="16.350000000000001" customHeight="1" x14ac:dyDescent="0.2">
      <c r="A158" s="77"/>
      <c r="B158" s="593"/>
      <c r="C158" s="594"/>
      <c r="D158" s="594"/>
      <c r="E158" s="594"/>
      <c r="F158" s="595"/>
      <c r="G158" s="596"/>
      <c r="H158" s="596"/>
      <c r="I158" s="596"/>
      <c r="J158" s="597"/>
      <c r="K158" s="598"/>
      <c r="L158" s="598"/>
      <c r="M158" s="598"/>
      <c r="N158" s="599"/>
      <c r="O158" s="507">
        <f t="shared" si="8"/>
        <v>0</v>
      </c>
      <c r="P158" s="508"/>
      <c r="Q158" s="508"/>
      <c r="R158" s="508"/>
      <c r="S158" s="509"/>
      <c r="T158" s="587" t="str">
        <f>IF(AD136&gt;1,AD136,"")</f>
        <v/>
      </c>
      <c r="U158" s="588"/>
      <c r="V158" s="588"/>
      <c r="W158" s="588"/>
      <c r="X158" s="588"/>
      <c r="Y158" s="588"/>
      <c r="Z158" s="589"/>
      <c r="AA158" s="28"/>
      <c r="AB158" s="510">
        <f>IFERROR(G158*J158/1000*T158,0)</f>
        <v>0</v>
      </c>
      <c r="AC158" s="510"/>
      <c r="AD158" s="510"/>
      <c r="AE158" s="510"/>
      <c r="AF158" s="510"/>
      <c r="AG158" s="510"/>
      <c r="AH158" s="270"/>
      <c r="AI158" s="271"/>
      <c r="AJ158" s="322">
        <f>O159</f>
        <v>0</v>
      </c>
      <c r="AK158" s="208" t="s">
        <v>280</v>
      </c>
      <c r="AM158" s="212" t="s">
        <v>195</v>
      </c>
      <c r="AN158" s="313">
        <f>IF(AK17=TRUE,AC34,0)</f>
        <v>0</v>
      </c>
      <c r="AO158" s="208" t="s">
        <v>465</v>
      </c>
      <c r="AP158" s="261">
        <f>AN158</f>
        <v>0</v>
      </c>
      <c r="AQ158" s="209" t="s">
        <v>465</v>
      </c>
      <c r="AT158" s="688">
        <f>SUM(AP158:AP160)</f>
        <v>0</v>
      </c>
      <c r="AU158" s="690" t="s">
        <v>469</v>
      </c>
    </row>
    <row r="159" spans="1:47" s="208" customFormat="1" ht="16.350000000000001" customHeight="1" x14ac:dyDescent="0.2">
      <c r="A159" s="77"/>
      <c r="B159" s="28"/>
      <c r="C159" s="52"/>
      <c r="D159" s="52"/>
      <c r="E159" s="52"/>
      <c r="F159" s="52"/>
      <c r="G159" s="52"/>
      <c r="H159" s="52"/>
      <c r="I159" s="52"/>
      <c r="J159" s="52"/>
      <c r="K159" s="52"/>
      <c r="L159" s="52"/>
      <c r="M159" s="52"/>
      <c r="N159" s="52"/>
      <c r="O159" s="574">
        <f>ROUND(SUM(O155:S158),10)</f>
        <v>0</v>
      </c>
      <c r="P159" s="575"/>
      <c r="Q159" s="575"/>
      <c r="R159" s="575"/>
      <c r="S159" s="576"/>
      <c r="T159" s="28"/>
      <c r="U159" s="28"/>
      <c r="V159" s="20"/>
      <c r="W159" s="20"/>
      <c r="X159" s="20"/>
      <c r="Y159" s="20"/>
      <c r="Z159" s="20"/>
      <c r="AA159" s="20"/>
      <c r="AB159" s="584">
        <f>SUM(AB155:AG158)</f>
        <v>0</v>
      </c>
      <c r="AC159" s="585"/>
      <c r="AD159" s="585"/>
      <c r="AE159" s="585"/>
      <c r="AF159" s="585"/>
      <c r="AG159" s="586"/>
      <c r="AH159" s="270"/>
      <c r="AI159" s="271"/>
      <c r="AJ159" s="322">
        <f>AP168</f>
        <v>0</v>
      </c>
      <c r="AK159" s="208" t="s">
        <v>279</v>
      </c>
      <c r="AM159" s="212" t="s">
        <v>194</v>
      </c>
      <c r="AN159" s="313">
        <f>IF(AL17=TRUE,AK49,0)</f>
        <v>0</v>
      </c>
      <c r="AO159" s="208" t="s">
        <v>465</v>
      </c>
      <c r="AP159" s="261">
        <f>AN159</f>
        <v>0</v>
      </c>
      <c r="AQ159" s="209" t="s">
        <v>465</v>
      </c>
      <c r="AT159" s="689"/>
      <c r="AU159" s="690"/>
    </row>
    <row r="160" spans="1:47" s="208" customFormat="1" ht="16.350000000000001" customHeight="1" x14ac:dyDescent="0.2">
      <c r="A160" s="77"/>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0"/>
      <c r="AA160" s="20"/>
      <c r="AB160" s="20"/>
      <c r="AC160" s="20"/>
      <c r="AD160" s="20"/>
      <c r="AE160" s="20"/>
      <c r="AF160" s="21"/>
      <c r="AG160" s="22"/>
      <c r="AH160" s="270"/>
      <c r="AI160" s="271"/>
      <c r="AJ160" s="323">
        <f>(AJ159-AJ158)</f>
        <v>0</v>
      </c>
      <c r="AK160" s="208" t="s">
        <v>281</v>
      </c>
      <c r="AM160" s="257" t="s">
        <v>197</v>
      </c>
      <c r="AN160" s="313">
        <f>IF(AK19=TRUE,AC61,0)</f>
        <v>0</v>
      </c>
      <c r="AO160" s="208" t="s">
        <v>465</v>
      </c>
      <c r="AP160" s="261">
        <f>AN160</f>
        <v>0</v>
      </c>
      <c r="AQ160" s="209" t="s">
        <v>465</v>
      </c>
      <c r="AT160" s="689"/>
      <c r="AU160" s="690"/>
    </row>
    <row r="161" spans="1:50" s="208" customFormat="1" ht="16.350000000000001" customHeight="1" x14ac:dyDescent="0.2">
      <c r="A161" s="77"/>
      <c r="B161" s="28"/>
      <c r="C161" s="52"/>
      <c r="D161" s="52"/>
      <c r="E161" s="52"/>
      <c r="F161" s="52"/>
      <c r="G161" s="52"/>
      <c r="H161" s="52"/>
      <c r="I161" s="52"/>
      <c r="J161" s="52"/>
      <c r="K161" s="52"/>
      <c r="L161" s="52"/>
      <c r="M161" s="52"/>
      <c r="N161" s="52"/>
      <c r="O161" s="52"/>
      <c r="P161" s="52"/>
      <c r="Q161" s="52"/>
      <c r="R161" s="28"/>
      <c r="S161" s="15"/>
      <c r="T161" s="28"/>
      <c r="U161" s="28"/>
      <c r="V161" s="15"/>
      <c r="W161" s="99"/>
      <c r="X161" s="99"/>
      <c r="Y161" s="99"/>
      <c r="Z161" s="99"/>
      <c r="AA161" s="22" t="s">
        <v>549</v>
      </c>
      <c r="AB161" s="696">
        <f>O159</f>
        <v>0</v>
      </c>
      <c r="AC161" s="696"/>
      <c r="AD161" s="696"/>
      <c r="AE161" s="696"/>
      <c r="AF161" s="695" t="s">
        <v>468</v>
      </c>
      <c r="AG161" s="695"/>
      <c r="AH161" s="270"/>
      <c r="AI161" s="271"/>
      <c r="AJ161" s="209"/>
      <c r="AM161" s="257" t="s">
        <v>198</v>
      </c>
      <c r="AN161" s="313">
        <f>IF(AND(AK64=TRUE,AK19=TRUE),AC66,0)</f>
        <v>0</v>
      </c>
      <c r="AO161" s="208" t="s">
        <v>45</v>
      </c>
      <c r="AP161" s="262">
        <f>IFERROR(IF(O23="Montana",AN161/AP150,AN161/AP149),0)</f>
        <v>0</v>
      </c>
      <c r="AQ161" s="209" t="s">
        <v>465</v>
      </c>
      <c r="AT161" s="691">
        <f>SUM(AP161:AP167)</f>
        <v>0</v>
      </c>
      <c r="AU161" s="690" t="s">
        <v>470</v>
      </c>
      <c r="AV161" s="211">
        <f>IF(SUM(AN161:AN167)=0,0,1)</f>
        <v>0</v>
      </c>
      <c r="AX161" s="208" t="s">
        <v>259</v>
      </c>
    </row>
    <row r="162" spans="1:50" s="208" customFormat="1" ht="16.350000000000001" customHeight="1" x14ac:dyDescent="0.2">
      <c r="A162" s="77"/>
      <c r="B162" s="270"/>
      <c r="C162" s="27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2" t="s">
        <v>550</v>
      </c>
      <c r="AB162" s="696">
        <f>K138</f>
        <v>0</v>
      </c>
      <c r="AC162" s="696"/>
      <c r="AD162" s="696"/>
      <c r="AE162" s="696"/>
      <c r="AF162" s="695" t="s">
        <v>468</v>
      </c>
      <c r="AG162" s="695"/>
      <c r="AH162" s="270"/>
      <c r="AI162" s="271"/>
      <c r="AJ162" s="15"/>
      <c r="AM162" s="212" t="s">
        <v>196</v>
      </c>
      <c r="AN162" s="313">
        <f>IF(AM17=TRUE,IF(OR(AK75=2,AK75=4,AK75=6),AK88,0),0)</f>
        <v>0</v>
      </c>
      <c r="AO162" s="208" t="s">
        <v>45</v>
      </c>
      <c r="AP162" s="698">
        <f>IFERROR(IF(AR163&gt;AR162,AR163,AR162),0)</f>
        <v>0</v>
      </c>
      <c r="AQ162" s="697" t="s">
        <v>465</v>
      </c>
      <c r="AR162" s="262" t="e">
        <f>AN162/AP151</f>
        <v>#DIV/0!</v>
      </c>
      <c r="AS162" s="209" t="s">
        <v>465</v>
      </c>
      <c r="AT162" s="691"/>
      <c r="AU162" s="690"/>
      <c r="AX162" s="208" t="s">
        <v>260</v>
      </c>
    </row>
    <row r="163" spans="1:50" s="208" customFormat="1" ht="16.350000000000001" customHeight="1" thickBot="1" x14ac:dyDescent="0.25">
      <c r="A163" s="77"/>
      <c r="B163" s="270"/>
      <c r="C163" s="27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1"/>
      <c r="AJ163" s="15"/>
      <c r="AM163" s="212" t="s">
        <v>199</v>
      </c>
      <c r="AN163" s="313">
        <f>IF(AM17=TRUE,IF(OR(AK75=2,AK75=4,AK75=6),AL88,0),0)</f>
        <v>0</v>
      </c>
      <c r="AO163" s="208" t="s">
        <v>45</v>
      </c>
      <c r="AP163" s="698"/>
      <c r="AQ163" s="697"/>
      <c r="AR163" s="262" t="e">
        <f>AN163/AP152</f>
        <v>#DIV/0!</v>
      </c>
      <c r="AS163" s="209" t="s">
        <v>465</v>
      </c>
      <c r="AT163" s="691"/>
      <c r="AU163" s="690"/>
    </row>
    <row r="164" spans="1:50" s="208" customFormat="1" ht="12.75" x14ac:dyDescent="0.2">
      <c r="A164" s="62"/>
      <c r="B164" s="699" t="str">
        <f>IF(AJ145=TRUE,"Finenzielle Beteiligung an einer Anlage, Beilage zu ergänzen",IF(K138="?","Ergänzen Sie die Solarsimulation, damit die Berechnung erfolgen kann",IF(O159=0,"Es gibt keine beschriebene Solaranlage",IF(AJ158&gt;=AJ159,"Die projektierte Anlage kann den Bedarf des Projekts abdecken","Die projektierte Anlage kann den Bedarf des Projektes nicht abdecken, es fehlt noch "&amp; ROUND(AJ160,1)&amp;" kWp "))))</f>
        <v>Es gibt keine beschriebene Solaranlage</v>
      </c>
      <c r="C164" s="700"/>
      <c r="D164" s="700"/>
      <c r="E164" s="700"/>
      <c r="F164" s="700"/>
      <c r="G164" s="700"/>
      <c r="H164" s="700"/>
      <c r="I164" s="700"/>
      <c r="J164" s="700"/>
      <c r="K164" s="700"/>
      <c r="L164" s="700"/>
      <c r="M164" s="700"/>
      <c r="N164" s="700"/>
      <c r="O164" s="700"/>
      <c r="P164" s="700"/>
      <c r="Q164" s="700"/>
      <c r="R164" s="700"/>
      <c r="S164" s="700"/>
      <c r="T164" s="700"/>
      <c r="U164" s="700"/>
      <c r="V164" s="700"/>
      <c r="W164" s="700"/>
      <c r="X164" s="700"/>
      <c r="Y164" s="700"/>
      <c r="Z164" s="700"/>
      <c r="AA164" s="700"/>
      <c r="AB164" s="700"/>
      <c r="AC164" s="700"/>
      <c r="AD164" s="700"/>
      <c r="AE164" s="700"/>
      <c r="AF164" s="700"/>
      <c r="AG164" s="700"/>
      <c r="AH164" s="701"/>
      <c r="AI164" s="28"/>
      <c r="AJ164" s="15"/>
      <c r="AM164" s="212" t="s">
        <v>283</v>
      </c>
      <c r="AN164" s="313">
        <f>IF(AM17=TRUE,AK114,0)</f>
        <v>0</v>
      </c>
      <c r="AO164" s="208" t="s">
        <v>45</v>
      </c>
      <c r="AP164" s="698">
        <f>IFERROR(IF(AN161&lt;&gt;0,0,IF(AR165&gt;AR164,AR165,AR164)),0)</f>
        <v>0</v>
      </c>
      <c r="AQ164" s="697" t="s">
        <v>465</v>
      </c>
      <c r="AR164" s="262" t="e">
        <f>AN164/AP151</f>
        <v>#DIV/0!</v>
      </c>
      <c r="AS164" s="209" t="s">
        <v>465</v>
      </c>
      <c r="AT164" s="691"/>
      <c r="AU164" s="690"/>
    </row>
    <row r="165" spans="1:50" s="208" customFormat="1" ht="19.350000000000001" customHeight="1" x14ac:dyDescent="0.2">
      <c r="A165" s="62"/>
      <c r="B165" s="702"/>
      <c r="C165" s="633"/>
      <c r="D165" s="633"/>
      <c r="E165" s="633"/>
      <c r="F165" s="633"/>
      <c r="G165" s="633"/>
      <c r="H165" s="633"/>
      <c r="I165" s="633"/>
      <c r="J165" s="633"/>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703"/>
      <c r="AI165" s="28"/>
      <c r="AJ165" s="15"/>
      <c r="AM165" s="212" t="s">
        <v>284</v>
      </c>
      <c r="AN165" s="313">
        <f>IF(AM17=TRUE,AK115,0)</f>
        <v>0</v>
      </c>
      <c r="AO165" s="208" t="s">
        <v>45</v>
      </c>
      <c r="AP165" s="698"/>
      <c r="AQ165" s="697"/>
      <c r="AR165" s="262" t="e">
        <f>AN165/AP152</f>
        <v>#DIV/0!</v>
      </c>
      <c r="AS165" s="209" t="s">
        <v>465</v>
      </c>
      <c r="AT165" s="691"/>
      <c r="AU165" s="690"/>
    </row>
    <row r="166" spans="1:50" s="208" customFormat="1" ht="18" customHeight="1" thickBot="1" x14ac:dyDescent="0.25">
      <c r="A166" s="62"/>
      <c r="B166" s="704"/>
      <c r="C166" s="705"/>
      <c r="D166" s="705"/>
      <c r="E166" s="705"/>
      <c r="F166" s="705"/>
      <c r="G166" s="705"/>
      <c r="H166" s="705"/>
      <c r="I166" s="705"/>
      <c r="J166" s="705"/>
      <c r="K166" s="705"/>
      <c r="L166" s="705"/>
      <c r="M166" s="705"/>
      <c r="N166" s="705"/>
      <c r="O166" s="705"/>
      <c r="P166" s="705"/>
      <c r="Q166" s="705"/>
      <c r="R166" s="705"/>
      <c r="S166" s="705"/>
      <c r="T166" s="705"/>
      <c r="U166" s="705"/>
      <c r="V166" s="705"/>
      <c r="W166" s="705"/>
      <c r="X166" s="705"/>
      <c r="Y166" s="705"/>
      <c r="Z166" s="705"/>
      <c r="AA166" s="705"/>
      <c r="AB166" s="705"/>
      <c r="AC166" s="705"/>
      <c r="AD166" s="705"/>
      <c r="AE166" s="705"/>
      <c r="AF166" s="705"/>
      <c r="AG166" s="705"/>
      <c r="AH166" s="706"/>
      <c r="AI166" s="28"/>
      <c r="AJ166" s="15"/>
      <c r="AM166" s="212" t="s">
        <v>285</v>
      </c>
      <c r="AN166" s="313">
        <f>IF(AM17=TRUE,AK116,0)</f>
        <v>0</v>
      </c>
      <c r="AO166" s="208" t="s">
        <v>45</v>
      </c>
      <c r="AP166" s="698">
        <f>IFERROR(IF(AR167&gt;AR166,AR167,AR166),0)</f>
        <v>0</v>
      </c>
      <c r="AQ166" s="697" t="s">
        <v>465</v>
      </c>
      <c r="AR166" s="312" t="e">
        <f>AN166/AP151</f>
        <v>#DIV/0!</v>
      </c>
      <c r="AS166" s="209" t="s">
        <v>465</v>
      </c>
      <c r="AT166" s="691"/>
      <c r="AU166" s="690"/>
    </row>
    <row r="167" spans="1:50" s="208" customFormat="1" ht="15.75" customHeight="1" x14ac:dyDescent="0.2">
      <c r="A167" s="62"/>
      <c r="B167" s="189" t="str">
        <f>IF(AJ145=TRUE,"",IFERROR(IF(AND(K138&lt;&gt;"?",O159&lt;K138,AP172&gt;0.0001),"Fehlt noch ein Elektrizitäterzeugung von "&amp;ROUND(AP172,0.1)&amp;" kWh/a un um gesetzliche Anforderungen zu erfüllen",""),""))</f>
        <v/>
      </c>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57"/>
      <c r="AM167" s="212" t="s">
        <v>286</v>
      </c>
      <c r="AN167" s="313">
        <f>IF(AM17=TRUE,AK117,0)</f>
        <v>0</v>
      </c>
      <c r="AO167" s="208" t="s">
        <v>45</v>
      </c>
      <c r="AP167" s="698"/>
      <c r="AQ167" s="697"/>
      <c r="AR167" s="312" t="e">
        <f>AN167/AP152</f>
        <v>#DIV/0!</v>
      </c>
      <c r="AS167" s="209" t="s">
        <v>465</v>
      </c>
      <c r="AT167" s="691"/>
      <c r="AU167" s="690"/>
    </row>
    <row r="168" spans="1:50" s="208" customFormat="1" ht="14.85" customHeight="1" x14ac:dyDescent="0.2">
      <c r="A168" s="62"/>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15"/>
      <c r="AM168" s="209"/>
      <c r="AN168" s="209"/>
      <c r="AO168" s="280" t="s">
        <v>223</v>
      </c>
      <c r="AP168" s="281">
        <f>IF(AT161=0,AT158,AT158+AT161)</f>
        <v>0</v>
      </c>
      <c r="AQ168" s="266" t="s">
        <v>465</v>
      </c>
    </row>
    <row r="169" spans="1:50" s="208" customFormat="1" ht="15.6" customHeight="1" x14ac:dyDescent="0.2">
      <c r="A169" s="62"/>
      <c r="B169" s="100" t="s">
        <v>548</v>
      </c>
      <c r="C169" s="100"/>
      <c r="D169" s="30"/>
      <c r="E169" s="30"/>
      <c r="F169" s="30"/>
      <c r="G169" s="30"/>
      <c r="H169" s="30"/>
      <c r="I169" s="30"/>
      <c r="J169" s="30"/>
      <c r="K169" s="30"/>
      <c r="L169" s="30"/>
      <c r="M169" s="30"/>
      <c r="N169" s="30"/>
      <c r="O169" s="30"/>
      <c r="P169" s="30"/>
      <c r="Q169" s="30"/>
      <c r="R169" s="30"/>
      <c r="S169" s="30"/>
      <c r="T169" s="30"/>
      <c r="U169" s="30"/>
      <c r="V169" s="30"/>
      <c r="W169" s="30"/>
      <c r="X169" s="30"/>
      <c r="Y169" s="30"/>
      <c r="Z169" s="20"/>
      <c r="AA169" s="20"/>
      <c r="AB169" s="28"/>
      <c r="AC169" s="28"/>
      <c r="AD169" s="28"/>
      <c r="AE169" s="28"/>
      <c r="AF169" s="28"/>
      <c r="AG169" s="28"/>
      <c r="AH169" s="77"/>
      <c r="AI169" s="28"/>
      <c r="AJ169" s="15"/>
      <c r="AO169" s="281" t="s">
        <v>224</v>
      </c>
      <c r="AP169" s="267" t="e">
        <f>AP168*AD136</f>
        <v>#VALUE!</v>
      </c>
      <c r="AQ169" s="221" t="s">
        <v>216</v>
      </c>
    </row>
    <row r="170" spans="1:50" s="208" customFormat="1" ht="15" customHeight="1" x14ac:dyDescent="0.2">
      <c r="A170" s="245"/>
      <c r="B170" s="100" t="s">
        <v>476</v>
      </c>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565" t="s">
        <v>473</v>
      </c>
      <c r="AC170" s="566"/>
      <c r="AD170" s="566"/>
      <c r="AE170" s="566"/>
      <c r="AF170" s="566"/>
      <c r="AG170" s="567"/>
      <c r="AH170" s="245"/>
      <c r="AI170" s="245"/>
      <c r="AJ170" s="15"/>
    </row>
    <row r="171" spans="1:50" s="208" customFormat="1" ht="15" customHeight="1" x14ac:dyDescent="0.2">
      <c r="A171" s="245"/>
      <c r="B171" s="100"/>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590" t="s">
        <v>45</v>
      </c>
      <c r="AC171" s="591"/>
      <c r="AD171" s="591"/>
      <c r="AE171" s="591"/>
      <c r="AF171" s="591"/>
      <c r="AG171" s="592"/>
      <c r="AH171" s="245"/>
      <c r="AI171" s="245"/>
      <c r="AJ171" s="15"/>
      <c r="AO171" s="281" t="s">
        <v>312</v>
      </c>
      <c r="AP171" s="267">
        <f>AB159</f>
        <v>0</v>
      </c>
      <c r="AQ171" s="221" t="s">
        <v>216</v>
      </c>
    </row>
    <row r="172" spans="1:50" s="208" customFormat="1" ht="12.75" x14ac:dyDescent="0.2">
      <c r="A172" s="245"/>
      <c r="B172" s="245"/>
      <c r="C172" s="28" t="s">
        <v>475</v>
      </c>
      <c r="D172" s="52"/>
      <c r="E172" s="52"/>
      <c r="F172" s="52"/>
      <c r="G172" s="52"/>
      <c r="H172" s="52"/>
      <c r="I172" s="568"/>
      <c r="J172" s="569"/>
      <c r="K172" s="569"/>
      <c r="L172" s="569"/>
      <c r="M172" s="569"/>
      <c r="N172" s="569"/>
      <c r="O172" s="569"/>
      <c r="P172" s="569"/>
      <c r="Q172" s="569"/>
      <c r="R172" s="569"/>
      <c r="S172" s="569"/>
      <c r="T172" s="569"/>
      <c r="U172" s="569"/>
      <c r="V172" s="569"/>
      <c r="W172" s="569"/>
      <c r="X172" s="569"/>
      <c r="Y172" s="569"/>
      <c r="Z172" s="570"/>
      <c r="AA172" s="19"/>
      <c r="AB172" s="571"/>
      <c r="AC172" s="572"/>
      <c r="AD172" s="572"/>
      <c r="AE172" s="572"/>
      <c r="AF172" s="572"/>
      <c r="AG172" s="573"/>
      <c r="AH172" s="245"/>
      <c r="AI172" s="245"/>
      <c r="AJ172" s="257"/>
      <c r="AM172" s="208" t="s">
        <v>477</v>
      </c>
      <c r="AO172" s="281" t="s">
        <v>313</v>
      </c>
      <c r="AP172" s="267" t="e">
        <f>AP169-AP171</f>
        <v>#VALUE!</v>
      </c>
      <c r="AQ172" s="221" t="s">
        <v>216</v>
      </c>
    </row>
    <row r="173" spans="1:50" s="208" customFormat="1" ht="12.75" x14ac:dyDescent="0.2">
      <c r="A173" s="245"/>
      <c r="B173" s="245"/>
      <c r="C173" s="42" t="str">
        <f>IF((OR(AK22=2,AB172&lt;&gt;0)),"EN-VS-133 anzugeben und begründung des Bedarfs für Projekt","")</f>
        <v/>
      </c>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404"/>
      <c r="AC173" s="404"/>
      <c r="AD173" s="404"/>
      <c r="AE173" s="404"/>
      <c r="AF173" s="404"/>
      <c r="AG173" s="404"/>
      <c r="AH173" s="245"/>
      <c r="AI173" s="245"/>
      <c r="AJ173" s="15"/>
      <c r="AM173" s="264" t="s">
        <v>478</v>
      </c>
    </row>
    <row r="174" spans="1:50" s="208" customFormat="1" ht="13.5" thickBot="1" x14ac:dyDescent="0.25">
      <c r="A174" s="62"/>
      <c r="B174" s="14"/>
      <c r="C174" s="14"/>
      <c r="D174" s="265"/>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28"/>
      <c r="AJ174" s="53"/>
      <c r="AM174" s="264" t="s">
        <v>479</v>
      </c>
    </row>
    <row r="175" spans="1:50" s="208" customFormat="1" ht="12.75" x14ac:dyDescent="0.2">
      <c r="A175" s="62"/>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15"/>
      <c r="AM175" s="264" t="s">
        <v>480</v>
      </c>
      <c r="AO175" s="281" t="s">
        <v>355</v>
      </c>
      <c r="AP175" s="267">
        <f>AB172</f>
        <v>0</v>
      </c>
      <c r="AQ175" s="221" t="s">
        <v>216</v>
      </c>
    </row>
    <row r="176" spans="1:50" s="208" customFormat="1" ht="15.75" x14ac:dyDescent="0.2">
      <c r="A176" s="62"/>
      <c r="B176" s="18" t="s">
        <v>569</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259"/>
      <c r="AK176" s="259"/>
      <c r="AM176" s="208" t="s">
        <v>481</v>
      </c>
      <c r="AO176" s="281"/>
      <c r="AP176" s="267"/>
      <c r="AQ176" s="221"/>
    </row>
    <row r="177" spans="1:69" s="208" customFormat="1" ht="12.75" x14ac:dyDescent="0.2">
      <c r="A177" s="62"/>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15"/>
      <c r="AM177" s="208" t="s">
        <v>482</v>
      </c>
    </row>
    <row r="178" spans="1:69" s="378" customFormat="1" ht="15.75" x14ac:dyDescent="0.25">
      <c r="A178" s="374"/>
      <c r="B178" s="375"/>
      <c r="C178" s="372"/>
      <c r="D178" s="371" t="s">
        <v>571</v>
      </c>
      <c r="E178" s="375"/>
      <c r="F178" s="375"/>
      <c r="G178" s="375"/>
      <c r="H178" s="375"/>
      <c r="I178" s="375"/>
      <c r="J178" s="375"/>
      <c r="K178" s="375"/>
      <c r="L178" s="375"/>
      <c r="M178" s="375"/>
      <c r="N178" s="375"/>
      <c r="O178" s="375"/>
      <c r="P178" s="375"/>
      <c r="Q178" s="375"/>
      <c r="R178" s="376"/>
      <c r="S178" s="375"/>
      <c r="T178" s="375"/>
      <c r="U178" s="375"/>
      <c r="V178" s="375"/>
      <c r="W178" s="375"/>
      <c r="X178" s="375"/>
      <c r="Y178" s="375"/>
      <c r="Z178" s="375"/>
      <c r="AA178" s="375"/>
      <c r="AB178" s="375"/>
      <c r="AC178" s="375"/>
      <c r="AD178" s="375"/>
      <c r="AE178" s="375"/>
      <c r="AF178" s="375"/>
      <c r="AG178" s="375"/>
      <c r="AH178" s="375"/>
      <c r="AI178" s="375"/>
      <c r="AJ178" s="377"/>
      <c r="AM178" s="378" t="s">
        <v>483</v>
      </c>
    </row>
    <row r="179" spans="1:69" s="378" customFormat="1" ht="15.75" x14ac:dyDescent="0.25">
      <c r="A179" s="374"/>
      <c r="B179" s="375"/>
      <c r="C179" s="372"/>
      <c r="D179" s="372" t="s">
        <v>494</v>
      </c>
      <c r="E179" s="375"/>
      <c r="F179" s="375"/>
      <c r="G179" s="375"/>
      <c r="H179" s="375"/>
      <c r="I179" s="375"/>
      <c r="J179" s="375"/>
      <c r="K179" s="375"/>
      <c r="L179" s="375"/>
      <c r="M179" s="375"/>
      <c r="N179" s="375"/>
      <c r="O179" s="375"/>
      <c r="P179" s="375"/>
      <c r="Q179" s="375"/>
      <c r="R179" s="376"/>
      <c r="S179" s="375"/>
      <c r="T179" s="375"/>
      <c r="U179" s="375"/>
      <c r="V179" s="375"/>
      <c r="W179" s="375"/>
      <c r="X179" s="375"/>
      <c r="Y179" s="375"/>
      <c r="Z179" s="375"/>
      <c r="AA179" s="375"/>
      <c r="AB179" s="375"/>
      <c r="AC179" s="375"/>
      <c r="AD179" s="375"/>
      <c r="AE179" s="375"/>
      <c r="AF179" s="375"/>
      <c r="AG179" s="375"/>
      <c r="AH179" s="375"/>
      <c r="AI179" s="375"/>
      <c r="AJ179" s="377"/>
      <c r="AM179" s="378" t="s">
        <v>484</v>
      </c>
    </row>
    <row r="180" spans="1:69" s="378" customFormat="1" ht="15.75" x14ac:dyDescent="0.25">
      <c r="A180" s="374"/>
      <c r="B180" s="375"/>
      <c r="C180" s="372"/>
      <c r="D180" s="372" t="s">
        <v>495</v>
      </c>
      <c r="E180" s="375"/>
      <c r="F180" s="375"/>
      <c r="G180" s="375"/>
      <c r="H180" s="375"/>
      <c r="I180" s="375"/>
      <c r="J180" s="375"/>
      <c r="K180" s="375"/>
      <c r="L180" s="375"/>
      <c r="M180" s="375"/>
      <c r="N180" s="375"/>
      <c r="O180" s="375"/>
      <c r="P180" s="375"/>
      <c r="Q180" s="375"/>
      <c r="R180" s="376"/>
      <c r="S180" s="375"/>
      <c r="T180" s="375"/>
      <c r="U180" s="375"/>
      <c r="V180" s="375"/>
      <c r="W180" s="375"/>
      <c r="X180" s="375"/>
      <c r="Y180" s="375"/>
      <c r="Z180" s="375"/>
      <c r="AA180" s="375"/>
      <c r="AB180" s="375"/>
      <c r="AC180" s="375"/>
      <c r="AD180" s="375"/>
      <c r="AE180" s="375"/>
      <c r="AF180" s="375"/>
      <c r="AG180" s="375"/>
      <c r="AH180" s="375"/>
      <c r="AI180" s="375"/>
      <c r="AJ180" s="377"/>
      <c r="AM180" s="378" t="s">
        <v>203</v>
      </c>
    </row>
    <row r="181" spans="1:69" s="379" customFormat="1" ht="15.75" x14ac:dyDescent="0.25">
      <c r="A181" s="374"/>
      <c r="B181" s="375"/>
      <c r="C181" s="372"/>
      <c r="D181" s="372" t="s">
        <v>575</v>
      </c>
      <c r="E181" s="375"/>
      <c r="F181" s="375"/>
      <c r="G181" s="375"/>
      <c r="H181" s="375"/>
      <c r="I181" s="375"/>
      <c r="J181" s="375"/>
      <c r="K181" s="375"/>
      <c r="L181" s="375"/>
      <c r="M181" s="375"/>
      <c r="N181" s="375"/>
      <c r="O181" s="375"/>
      <c r="P181" s="375"/>
      <c r="Q181" s="375"/>
      <c r="R181" s="376"/>
      <c r="S181" s="375"/>
      <c r="T181" s="375"/>
      <c r="U181" s="375"/>
      <c r="V181" s="375"/>
      <c r="W181" s="375"/>
      <c r="X181" s="375"/>
      <c r="Y181" s="375"/>
      <c r="Z181" s="375"/>
      <c r="AA181" s="375"/>
      <c r="AB181" s="375"/>
      <c r="AC181" s="375"/>
      <c r="AD181" s="375"/>
      <c r="AE181" s="375"/>
      <c r="AF181" s="375"/>
      <c r="AG181" s="375"/>
      <c r="AH181" s="375"/>
      <c r="AI181" s="375"/>
      <c r="AJ181" s="377"/>
      <c r="AK181" s="378"/>
      <c r="AL181" s="378"/>
      <c r="AM181" s="378" t="s">
        <v>485</v>
      </c>
      <c r="AN181" s="378"/>
      <c r="AO181" s="378"/>
      <c r="AP181" s="378"/>
      <c r="AQ181" s="378"/>
      <c r="AR181" s="378"/>
      <c r="AS181" s="378"/>
      <c r="AT181" s="378"/>
      <c r="AU181" s="378"/>
      <c r="AV181" s="378"/>
      <c r="AW181" s="378"/>
      <c r="AX181" s="378"/>
      <c r="AY181" s="378"/>
      <c r="AZ181" s="378"/>
      <c r="BA181" s="378"/>
      <c r="BB181" s="378"/>
      <c r="BC181" s="378"/>
      <c r="BD181" s="378"/>
      <c r="BE181" s="378"/>
      <c r="BF181" s="378"/>
      <c r="BG181" s="378"/>
      <c r="BH181" s="378"/>
      <c r="BI181" s="378"/>
      <c r="BJ181" s="378"/>
      <c r="BK181" s="378"/>
      <c r="BL181" s="378"/>
      <c r="BM181" s="378"/>
      <c r="BN181" s="378"/>
      <c r="BO181" s="378"/>
      <c r="BP181" s="378"/>
      <c r="BQ181" s="378"/>
    </row>
    <row r="182" spans="1:69" s="379" customFormat="1" ht="15.75" x14ac:dyDescent="0.25">
      <c r="A182" s="374"/>
      <c r="B182" s="375"/>
      <c r="C182" s="372"/>
      <c r="D182" s="371" t="s">
        <v>492</v>
      </c>
      <c r="E182" s="375"/>
      <c r="F182" s="375"/>
      <c r="G182" s="375"/>
      <c r="H182" s="375"/>
      <c r="I182" s="375"/>
      <c r="J182" s="375"/>
      <c r="K182" s="375"/>
      <c r="L182" s="375"/>
      <c r="M182" s="375"/>
      <c r="N182" s="375"/>
      <c r="O182" s="375"/>
      <c r="P182" s="375"/>
      <c r="Q182" s="375"/>
      <c r="R182" s="376"/>
      <c r="S182" s="375"/>
      <c r="T182" s="375"/>
      <c r="U182" s="375"/>
      <c r="V182" s="375"/>
      <c r="W182" s="375"/>
      <c r="X182" s="375"/>
      <c r="Y182" s="375"/>
      <c r="Z182" s="375"/>
      <c r="AA182" s="375"/>
      <c r="AB182" s="375"/>
      <c r="AC182" s="375"/>
      <c r="AD182" s="375"/>
      <c r="AE182" s="375"/>
      <c r="AF182" s="375"/>
      <c r="AG182" s="375"/>
      <c r="AH182" s="375"/>
      <c r="AI182" s="375"/>
      <c r="AJ182" s="377"/>
      <c r="AK182" s="378"/>
      <c r="AL182" s="378"/>
      <c r="AM182" s="378"/>
      <c r="AN182" s="378"/>
      <c r="AO182" s="378"/>
      <c r="AP182" s="378"/>
      <c r="AQ182" s="378"/>
      <c r="AR182" s="378"/>
      <c r="AS182" s="378"/>
      <c r="AT182" s="378"/>
      <c r="AU182" s="378"/>
      <c r="AV182" s="378"/>
      <c r="AW182" s="378"/>
      <c r="AX182" s="378"/>
      <c r="AY182" s="378"/>
      <c r="AZ182" s="378"/>
      <c r="BA182" s="378"/>
      <c r="BB182" s="378"/>
      <c r="BC182" s="378"/>
      <c r="BD182" s="378"/>
      <c r="BE182" s="378"/>
      <c r="BF182" s="378"/>
      <c r="BG182" s="378"/>
      <c r="BH182" s="378"/>
      <c r="BI182" s="378"/>
      <c r="BJ182" s="378"/>
      <c r="BK182" s="378"/>
      <c r="BL182" s="378"/>
      <c r="BM182" s="378"/>
      <c r="BN182" s="378"/>
      <c r="BO182" s="378"/>
      <c r="BP182" s="378"/>
      <c r="BQ182" s="378"/>
    </row>
    <row r="183" spans="1:69" s="379" customFormat="1" ht="15.75" x14ac:dyDescent="0.25">
      <c r="A183" s="374"/>
      <c r="B183" s="375"/>
      <c r="C183" s="375"/>
      <c r="D183" s="372" t="s">
        <v>607</v>
      </c>
      <c r="E183" s="375"/>
      <c r="F183" s="375"/>
      <c r="G183" s="375"/>
      <c r="H183" s="375"/>
      <c r="I183" s="375"/>
      <c r="J183" s="375"/>
      <c r="K183" s="375"/>
      <c r="L183" s="375"/>
      <c r="M183" s="375"/>
      <c r="N183" s="375"/>
      <c r="O183" s="375"/>
      <c r="P183" s="375"/>
      <c r="Q183" s="375"/>
      <c r="R183" s="376"/>
      <c r="S183" s="375"/>
      <c r="T183" s="375"/>
      <c r="U183" s="375"/>
      <c r="V183" s="375"/>
      <c r="W183" s="375"/>
      <c r="X183" s="375"/>
      <c r="Y183" s="375"/>
      <c r="Z183" s="375"/>
      <c r="AA183" s="375"/>
      <c r="AB183" s="375"/>
      <c r="AC183" s="375"/>
      <c r="AD183" s="375"/>
      <c r="AE183" s="375"/>
      <c r="AF183" s="375"/>
      <c r="AG183" s="375"/>
      <c r="AH183" s="375"/>
      <c r="AI183" s="375"/>
      <c r="AJ183" s="377"/>
      <c r="AK183" s="378"/>
      <c r="AL183" s="378"/>
      <c r="AM183" s="378"/>
      <c r="AN183" s="378"/>
      <c r="AO183" s="378"/>
      <c r="AP183" s="378"/>
      <c r="AQ183" s="378"/>
      <c r="AR183" s="378"/>
      <c r="AS183" s="378"/>
      <c r="AT183" s="378"/>
      <c r="AU183" s="378"/>
      <c r="AV183" s="378"/>
      <c r="AW183" s="378"/>
      <c r="AX183" s="378"/>
      <c r="AY183" s="378"/>
      <c r="AZ183" s="378"/>
      <c r="BA183" s="378"/>
      <c r="BB183" s="378"/>
      <c r="BC183" s="378"/>
      <c r="BD183" s="378"/>
      <c r="BE183" s="378"/>
      <c r="BF183" s="378"/>
      <c r="BG183" s="378"/>
      <c r="BH183" s="378"/>
      <c r="BI183" s="378"/>
      <c r="BJ183" s="378"/>
      <c r="BK183" s="378"/>
      <c r="BL183" s="378"/>
      <c r="BM183" s="378"/>
      <c r="BN183" s="378"/>
      <c r="BO183" s="378"/>
      <c r="BP183" s="378"/>
      <c r="BQ183" s="378"/>
    </row>
    <row r="184" spans="1:69" s="379" customFormat="1" ht="12.75" x14ac:dyDescent="0.2">
      <c r="A184" s="374"/>
      <c r="B184" s="375"/>
      <c r="C184" s="372"/>
      <c r="D184" s="372" t="s">
        <v>497</v>
      </c>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7"/>
      <c r="AK184" s="378"/>
      <c r="AL184" s="378"/>
      <c r="AM184" s="378"/>
      <c r="AN184" s="378"/>
      <c r="AO184" s="378"/>
      <c r="AP184" s="378"/>
      <c r="AQ184" s="378"/>
      <c r="AR184" s="378"/>
      <c r="AS184" s="378"/>
      <c r="AT184" s="378"/>
      <c r="AU184" s="378"/>
      <c r="AV184" s="378"/>
      <c r="AW184" s="378"/>
      <c r="AX184" s="378"/>
      <c r="AY184" s="378"/>
      <c r="AZ184" s="378"/>
      <c r="BA184" s="378"/>
      <c r="BB184" s="378"/>
      <c r="BC184" s="378"/>
      <c r="BD184" s="378"/>
      <c r="BE184" s="378"/>
      <c r="BF184" s="378"/>
      <c r="BG184" s="378"/>
      <c r="BH184" s="378"/>
      <c r="BI184" s="378"/>
      <c r="BJ184" s="378"/>
      <c r="BK184" s="378"/>
      <c r="BL184" s="378"/>
      <c r="BM184" s="378"/>
      <c r="BN184" s="378"/>
      <c r="BO184" s="378"/>
      <c r="BP184" s="378"/>
      <c r="BQ184" s="378"/>
    </row>
    <row r="185" spans="1:69" s="379" customFormat="1" ht="26.25" customHeight="1" x14ac:dyDescent="0.2">
      <c r="A185" s="374"/>
      <c r="B185" s="375"/>
      <c r="C185" s="372"/>
      <c r="D185" s="754" t="s">
        <v>573</v>
      </c>
      <c r="E185" s="754"/>
      <c r="F185" s="754"/>
      <c r="G185" s="754"/>
      <c r="H185" s="754"/>
      <c r="I185" s="754"/>
      <c r="J185" s="754"/>
      <c r="K185" s="754"/>
      <c r="L185" s="754"/>
      <c r="M185" s="754"/>
      <c r="N185" s="754"/>
      <c r="O185" s="754"/>
      <c r="P185" s="754"/>
      <c r="Q185" s="754"/>
      <c r="R185" s="754"/>
      <c r="S185" s="754"/>
      <c r="T185" s="754"/>
      <c r="U185" s="754"/>
      <c r="V185" s="754"/>
      <c r="W185" s="754"/>
      <c r="X185" s="754"/>
      <c r="Y185" s="754"/>
      <c r="Z185" s="754"/>
      <c r="AA185" s="754"/>
      <c r="AB185" s="754"/>
      <c r="AC185" s="754"/>
      <c r="AD185" s="754"/>
      <c r="AE185" s="754"/>
      <c r="AF185" s="754"/>
      <c r="AG185" s="754"/>
      <c r="AH185" s="754"/>
      <c r="AI185" s="375"/>
      <c r="AJ185" s="377"/>
      <c r="AK185" s="378"/>
      <c r="AL185" s="378"/>
      <c r="AM185" s="378"/>
      <c r="AN185" s="378"/>
      <c r="AO185" s="378"/>
      <c r="AP185" s="378"/>
      <c r="AQ185" s="378"/>
      <c r="AR185" s="378"/>
      <c r="AS185" s="378"/>
      <c r="AT185" s="378"/>
      <c r="AU185" s="378"/>
      <c r="AV185" s="378"/>
      <c r="AW185" s="378"/>
      <c r="AX185" s="378"/>
      <c r="AY185" s="378"/>
      <c r="AZ185" s="378"/>
      <c r="BA185" s="378"/>
      <c r="BB185" s="378"/>
      <c r="BC185" s="378"/>
      <c r="BD185" s="378"/>
      <c r="BE185" s="378"/>
      <c r="BF185" s="378"/>
      <c r="BG185" s="378"/>
      <c r="BH185" s="378"/>
      <c r="BI185" s="378"/>
      <c r="BJ185" s="378"/>
      <c r="BK185" s="378"/>
      <c r="BL185" s="378"/>
      <c r="BM185" s="378"/>
      <c r="BN185" s="378"/>
      <c r="BO185" s="378"/>
      <c r="BP185" s="378"/>
      <c r="BQ185" s="378"/>
    </row>
    <row r="186" spans="1:69" s="379" customFormat="1" ht="12.75" x14ac:dyDescent="0.2">
      <c r="A186" s="374"/>
      <c r="B186" s="375"/>
      <c r="C186" s="372"/>
      <c r="D186" s="372" t="s">
        <v>608</v>
      </c>
      <c r="E186" s="373"/>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5"/>
      <c r="AJ186" s="377"/>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378"/>
      <c r="BN186" s="378"/>
      <c r="BO186" s="378"/>
      <c r="BP186" s="378"/>
      <c r="BQ186" s="378"/>
    </row>
    <row r="187" spans="1:69" s="379" customFormat="1" ht="12.75" x14ac:dyDescent="0.2">
      <c r="A187" s="374"/>
      <c r="B187" s="375"/>
      <c r="C187" s="372"/>
      <c r="D187" s="372" t="s">
        <v>576</v>
      </c>
      <c r="E187" s="375"/>
      <c r="F187" s="375"/>
      <c r="G187" s="375"/>
      <c r="H187" s="375"/>
      <c r="I187" s="375"/>
      <c r="J187" s="375"/>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7"/>
      <c r="AK187" s="378"/>
      <c r="AL187" s="378"/>
      <c r="AM187" s="378"/>
      <c r="AN187" s="378"/>
      <c r="AO187" s="378"/>
      <c r="AP187" s="378"/>
      <c r="AQ187" s="378"/>
      <c r="AR187" s="378"/>
      <c r="AS187" s="378"/>
      <c r="AT187" s="378"/>
      <c r="AU187" s="378"/>
      <c r="AV187" s="378"/>
      <c r="AW187" s="378"/>
      <c r="AX187" s="378"/>
      <c r="AY187" s="378"/>
      <c r="AZ187" s="378"/>
      <c r="BA187" s="378"/>
      <c r="BB187" s="378"/>
      <c r="BC187" s="378"/>
      <c r="BD187" s="378"/>
      <c r="BE187" s="378"/>
      <c r="BF187" s="378"/>
      <c r="BG187" s="378"/>
      <c r="BH187" s="378"/>
      <c r="BI187" s="378"/>
      <c r="BJ187" s="378"/>
      <c r="BK187" s="378"/>
      <c r="BL187" s="378"/>
      <c r="BM187" s="378"/>
      <c r="BN187" s="378"/>
      <c r="BO187" s="378"/>
      <c r="BP187" s="378"/>
      <c r="BQ187" s="378"/>
    </row>
    <row r="188" spans="1:69" s="379" customFormat="1" ht="12.75" x14ac:dyDescent="0.2">
      <c r="A188" s="374"/>
      <c r="B188" s="375"/>
      <c r="C188" s="372"/>
      <c r="D188" s="372" t="s">
        <v>609</v>
      </c>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7"/>
      <c r="AK188" s="378"/>
      <c r="AL188" s="378"/>
      <c r="AM188" s="378"/>
      <c r="AN188" s="378"/>
      <c r="AO188" s="378"/>
      <c r="AP188" s="378"/>
      <c r="AQ188" s="378"/>
      <c r="AR188" s="378"/>
      <c r="AS188" s="378"/>
      <c r="AT188" s="378"/>
      <c r="AU188" s="378"/>
      <c r="AV188" s="378"/>
      <c r="AW188" s="378"/>
      <c r="AX188" s="378"/>
      <c r="AY188" s="378"/>
      <c r="AZ188" s="378"/>
      <c r="BA188" s="378"/>
      <c r="BB188" s="378"/>
      <c r="BC188" s="378"/>
      <c r="BD188" s="378"/>
      <c r="BE188" s="378"/>
      <c r="BF188" s="378"/>
      <c r="BG188" s="378"/>
      <c r="BH188" s="378"/>
      <c r="BI188" s="378"/>
      <c r="BJ188" s="378"/>
      <c r="BK188" s="378"/>
      <c r="BL188" s="378"/>
      <c r="BM188" s="378"/>
      <c r="BN188" s="378"/>
      <c r="BO188" s="378"/>
      <c r="BP188" s="378"/>
      <c r="BQ188" s="378"/>
    </row>
    <row r="189" spans="1:69" s="379" customFormat="1" ht="12.75" x14ac:dyDescent="0.2">
      <c r="A189" s="374"/>
      <c r="B189" s="375"/>
      <c r="C189" s="372"/>
      <c r="D189" s="372" t="s">
        <v>493</v>
      </c>
      <c r="E189" s="375"/>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5"/>
      <c r="AJ189" s="377"/>
      <c r="AK189" s="378"/>
      <c r="AL189" s="378"/>
      <c r="AM189" s="378"/>
      <c r="AN189" s="378"/>
      <c r="AO189" s="378"/>
      <c r="AP189" s="378"/>
      <c r="AQ189" s="378"/>
      <c r="AR189" s="378"/>
      <c r="AS189" s="378"/>
      <c r="AT189" s="378"/>
      <c r="AU189" s="378"/>
      <c r="AV189" s="378"/>
      <c r="AW189" s="378"/>
      <c r="AX189" s="378"/>
      <c r="AY189" s="378"/>
      <c r="AZ189" s="378"/>
      <c r="BA189" s="378"/>
      <c r="BB189" s="378"/>
      <c r="BC189" s="378"/>
      <c r="BD189" s="378"/>
      <c r="BE189" s="378"/>
      <c r="BF189" s="378"/>
      <c r="BG189" s="378"/>
      <c r="BH189" s="378"/>
      <c r="BI189" s="378"/>
      <c r="BJ189" s="378"/>
      <c r="BK189" s="378"/>
      <c r="BL189" s="378"/>
      <c r="BM189" s="378"/>
      <c r="BN189" s="378"/>
      <c r="BO189" s="378"/>
      <c r="BP189" s="378"/>
      <c r="BQ189" s="378"/>
    </row>
    <row r="190" spans="1:69" s="379" customFormat="1" ht="12.75" x14ac:dyDescent="0.2">
      <c r="A190" s="374"/>
      <c r="B190" s="375"/>
      <c r="C190" s="372"/>
      <c r="D190" s="372" t="s">
        <v>574</v>
      </c>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5"/>
      <c r="AJ190" s="377"/>
      <c r="AK190" s="378"/>
      <c r="AL190" s="378"/>
      <c r="AM190" s="378"/>
      <c r="AN190" s="378"/>
      <c r="AO190" s="378"/>
      <c r="AP190" s="378"/>
      <c r="AQ190" s="378"/>
      <c r="AR190" s="378"/>
      <c r="AS190" s="378"/>
      <c r="AT190" s="378"/>
      <c r="AU190" s="378"/>
      <c r="AV190" s="378"/>
      <c r="AW190" s="378"/>
      <c r="AX190" s="378"/>
      <c r="AY190" s="378"/>
      <c r="AZ190" s="378"/>
      <c r="BA190" s="378"/>
      <c r="BB190" s="378"/>
      <c r="BC190" s="378"/>
      <c r="BD190" s="378"/>
      <c r="BE190" s="378"/>
      <c r="BF190" s="378"/>
      <c r="BG190" s="378"/>
      <c r="BH190" s="378"/>
      <c r="BI190" s="378"/>
      <c r="BJ190" s="378"/>
      <c r="BK190" s="378"/>
      <c r="BL190" s="378"/>
      <c r="BM190" s="378"/>
      <c r="BN190" s="378"/>
      <c r="BO190" s="378"/>
      <c r="BP190" s="378"/>
      <c r="BQ190" s="378"/>
    </row>
    <row r="191" spans="1:69" s="379" customFormat="1" ht="12.75" x14ac:dyDescent="0.2">
      <c r="A191" s="374"/>
      <c r="B191" s="375"/>
      <c r="C191" s="372"/>
      <c r="D191" s="372" t="s">
        <v>499</v>
      </c>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5"/>
      <c r="AJ191" s="377"/>
      <c r="AK191" s="378"/>
      <c r="AL191" s="378"/>
      <c r="AM191" s="378"/>
      <c r="AN191" s="378"/>
      <c r="AO191" s="378"/>
      <c r="AP191" s="378"/>
      <c r="AQ191" s="378"/>
      <c r="AR191" s="378"/>
      <c r="AS191" s="378"/>
      <c r="AT191" s="378"/>
      <c r="AU191" s="378"/>
      <c r="AV191" s="378"/>
      <c r="AW191" s="378"/>
      <c r="AX191" s="378"/>
      <c r="AY191" s="378"/>
      <c r="AZ191" s="378"/>
      <c r="BA191" s="378"/>
      <c r="BB191" s="378"/>
      <c r="BC191" s="378"/>
      <c r="BD191" s="378"/>
      <c r="BE191" s="378"/>
      <c r="BF191" s="378"/>
      <c r="BG191" s="378"/>
      <c r="BH191" s="378"/>
      <c r="BI191" s="378"/>
      <c r="BJ191" s="378"/>
      <c r="BK191" s="378"/>
      <c r="BL191" s="378"/>
      <c r="BM191" s="378"/>
      <c r="BN191" s="378"/>
      <c r="BO191" s="378"/>
      <c r="BP191" s="378"/>
      <c r="BQ191" s="378"/>
    </row>
    <row r="192" spans="1:69" ht="13.5" thickBot="1" x14ac:dyDescent="0.25">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row>
    <row r="193" spans="1:35" ht="15.75" x14ac:dyDescent="0.2">
      <c r="B193" s="523" t="s">
        <v>500</v>
      </c>
      <c r="C193" s="523"/>
      <c r="D193" s="523"/>
      <c r="E193" s="523"/>
      <c r="F193" s="523"/>
      <c r="G193" s="523"/>
      <c r="H193" s="523"/>
      <c r="I193" s="523"/>
      <c r="J193" s="523"/>
      <c r="K193" s="523"/>
      <c r="L193" s="523"/>
      <c r="M193" s="523"/>
      <c r="N193" s="523"/>
      <c r="O193" s="523"/>
      <c r="P193" s="523"/>
      <c r="Q193" s="523"/>
      <c r="R193" s="523"/>
      <c r="S193" s="523"/>
      <c r="T193" s="523"/>
      <c r="U193" s="523"/>
      <c r="V193" s="523"/>
      <c r="W193" s="523"/>
      <c r="X193" s="523"/>
      <c r="Y193" s="523"/>
      <c r="Z193" s="523"/>
      <c r="AA193" s="523"/>
      <c r="AB193" s="523"/>
      <c r="AC193" s="523"/>
      <c r="AD193" s="523"/>
      <c r="AE193" s="523"/>
      <c r="AF193" s="523"/>
      <c r="AG193" s="523"/>
      <c r="AH193" s="523"/>
    </row>
    <row r="194" spans="1:35" ht="15.75" x14ac:dyDescent="0.2">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28"/>
      <c r="Y194" s="28"/>
      <c r="Z194" s="28"/>
      <c r="AA194" s="28"/>
      <c r="AB194" s="28"/>
      <c r="AC194" s="28"/>
      <c r="AD194" s="28"/>
      <c r="AE194" s="28"/>
      <c r="AF194" s="28"/>
      <c r="AG194" s="28"/>
      <c r="AH194" s="28"/>
    </row>
    <row r="195" spans="1:35" ht="12.75" x14ac:dyDescent="0.2">
      <c r="B195" s="514"/>
      <c r="C195" s="515"/>
      <c r="D195" s="515"/>
      <c r="E195" s="515"/>
      <c r="F195" s="515"/>
      <c r="G195" s="515"/>
      <c r="H195" s="515"/>
      <c r="I195" s="515"/>
      <c r="J195" s="515"/>
      <c r="K195" s="515"/>
      <c r="L195" s="515"/>
      <c r="M195" s="515"/>
      <c r="N195" s="515"/>
      <c r="O195" s="515"/>
      <c r="P195" s="515"/>
      <c r="Q195" s="515"/>
      <c r="R195" s="515"/>
      <c r="S195" s="515"/>
      <c r="T195" s="515"/>
      <c r="U195" s="515"/>
      <c r="V195" s="515"/>
      <c r="W195" s="515"/>
      <c r="X195" s="515"/>
      <c r="Y195" s="515"/>
      <c r="Z195" s="515"/>
      <c r="AA195" s="515"/>
      <c r="AB195" s="515"/>
      <c r="AC195" s="515"/>
      <c r="AD195" s="515"/>
      <c r="AE195" s="515"/>
      <c r="AF195" s="515"/>
      <c r="AG195" s="516"/>
      <c r="AH195" s="28"/>
    </row>
    <row r="196" spans="1:35" ht="21.75" customHeight="1" x14ac:dyDescent="0.2">
      <c r="B196" s="517"/>
      <c r="C196" s="518"/>
      <c r="D196" s="518"/>
      <c r="E196" s="518"/>
      <c r="F196" s="518"/>
      <c r="G196" s="518"/>
      <c r="H196" s="518"/>
      <c r="I196" s="518"/>
      <c r="J196" s="518"/>
      <c r="K196" s="518"/>
      <c r="L196" s="518"/>
      <c r="M196" s="518"/>
      <c r="N196" s="518"/>
      <c r="O196" s="518"/>
      <c r="P196" s="518"/>
      <c r="Q196" s="518"/>
      <c r="R196" s="518"/>
      <c r="S196" s="518"/>
      <c r="T196" s="518"/>
      <c r="U196" s="518"/>
      <c r="V196" s="518"/>
      <c r="W196" s="518"/>
      <c r="X196" s="518"/>
      <c r="Y196" s="518"/>
      <c r="Z196" s="518"/>
      <c r="AA196" s="518"/>
      <c r="AB196" s="518"/>
      <c r="AC196" s="518"/>
      <c r="AD196" s="518"/>
      <c r="AE196" s="518"/>
      <c r="AF196" s="518"/>
      <c r="AG196" s="519"/>
      <c r="AH196" s="28"/>
    </row>
    <row r="197" spans="1:35" s="15" customFormat="1" ht="12.75" x14ac:dyDescent="0.2">
      <c r="A197" s="62"/>
      <c r="B197" s="517"/>
      <c r="C197" s="518"/>
      <c r="D197" s="518"/>
      <c r="E197" s="518"/>
      <c r="F197" s="518"/>
      <c r="G197" s="518"/>
      <c r="H197" s="518"/>
      <c r="I197" s="518"/>
      <c r="J197" s="518"/>
      <c r="K197" s="518"/>
      <c r="L197" s="518"/>
      <c r="M197" s="518"/>
      <c r="N197" s="518"/>
      <c r="O197" s="518"/>
      <c r="P197" s="518"/>
      <c r="Q197" s="518"/>
      <c r="R197" s="518"/>
      <c r="S197" s="518"/>
      <c r="T197" s="518"/>
      <c r="U197" s="518"/>
      <c r="V197" s="518"/>
      <c r="W197" s="518"/>
      <c r="X197" s="518"/>
      <c r="Y197" s="518"/>
      <c r="Z197" s="518"/>
      <c r="AA197" s="518"/>
      <c r="AB197" s="518"/>
      <c r="AC197" s="518"/>
      <c r="AD197" s="518"/>
      <c r="AE197" s="518"/>
      <c r="AF197" s="518"/>
      <c r="AG197" s="519"/>
      <c r="AH197" s="28"/>
      <c r="AI197" s="28"/>
    </row>
    <row r="198" spans="1:35" s="15" customFormat="1" ht="21.75" customHeight="1" x14ac:dyDescent="0.2">
      <c r="A198" s="62"/>
      <c r="B198" s="517"/>
      <c r="C198" s="518"/>
      <c r="D198" s="518"/>
      <c r="E198" s="518"/>
      <c r="F198" s="518"/>
      <c r="G198" s="518"/>
      <c r="H198" s="518"/>
      <c r="I198" s="518"/>
      <c r="J198" s="518"/>
      <c r="K198" s="518"/>
      <c r="L198" s="518"/>
      <c r="M198" s="518"/>
      <c r="N198" s="518"/>
      <c r="O198" s="518"/>
      <c r="P198" s="518"/>
      <c r="Q198" s="518"/>
      <c r="R198" s="518"/>
      <c r="S198" s="518"/>
      <c r="T198" s="518"/>
      <c r="U198" s="518"/>
      <c r="V198" s="518"/>
      <c r="W198" s="518"/>
      <c r="X198" s="518"/>
      <c r="Y198" s="518"/>
      <c r="Z198" s="518"/>
      <c r="AA198" s="518"/>
      <c r="AB198" s="518"/>
      <c r="AC198" s="518"/>
      <c r="AD198" s="518"/>
      <c r="AE198" s="518"/>
      <c r="AF198" s="518"/>
      <c r="AG198" s="519"/>
      <c r="AH198" s="28"/>
      <c r="AI198" s="28"/>
    </row>
    <row r="199" spans="1:35" s="15" customFormat="1" ht="12.75" x14ac:dyDescent="0.2">
      <c r="A199" s="62"/>
      <c r="B199" s="517"/>
      <c r="C199" s="518"/>
      <c r="D199" s="518"/>
      <c r="E199" s="518"/>
      <c r="F199" s="518"/>
      <c r="G199" s="518"/>
      <c r="H199" s="518"/>
      <c r="I199" s="518"/>
      <c r="J199" s="518"/>
      <c r="K199" s="518"/>
      <c r="L199" s="518"/>
      <c r="M199" s="518"/>
      <c r="N199" s="518"/>
      <c r="O199" s="518"/>
      <c r="P199" s="518"/>
      <c r="Q199" s="518"/>
      <c r="R199" s="518"/>
      <c r="S199" s="518"/>
      <c r="T199" s="518"/>
      <c r="U199" s="518"/>
      <c r="V199" s="518"/>
      <c r="W199" s="518"/>
      <c r="X199" s="518"/>
      <c r="Y199" s="518"/>
      <c r="Z199" s="518"/>
      <c r="AA199" s="518"/>
      <c r="AB199" s="518"/>
      <c r="AC199" s="518"/>
      <c r="AD199" s="518"/>
      <c r="AE199" s="518"/>
      <c r="AF199" s="518"/>
      <c r="AG199" s="519"/>
      <c r="AH199" s="28"/>
      <c r="AI199" s="28"/>
    </row>
    <row r="200" spans="1:35" s="15" customFormat="1" ht="12.75" x14ac:dyDescent="0.2">
      <c r="A200" s="62"/>
      <c r="B200" s="520"/>
      <c r="C200" s="521"/>
      <c r="D200" s="521"/>
      <c r="E200" s="521"/>
      <c r="F200" s="521"/>
      <c r="G200" s="521"/>
      <c r="H200" s="521"/>
      <c r="I200" s="521"/>
      <c r="J200" s="521"/>
      <c r="K200" s="521"/>
      <c r="L200" s="521"/>
      <c r="M200" s="521"/>
      <c r="N200" s="521"/>
      <c r="O200" s="521"/>
      <c r="P200" s="521"/>
      <c r="Q200" s="521"/>
      <c r="R200" s="521"/>
      <c r="S200" s="521"/>
      <c r="T200" s="521"/>
      <c r="U200" s="521"/>
      <c r="V200" s="521"/>
      <c r="W200" s="521"/>
      <c r="X200" s="521"/>
      <c r="Y200" s="521"/>
      <c r="Z200" s="521"/>
      <c r="AA200" s="521"/>
      <c r="AB200" s="521"/>
      <c r="AC200" s="521"/>
      <c r="AD200" s="521"/>
      <c r="AE200" s="521"/>
      <c r="AF200" s="521"/>
      <c r="AG200" s="522"/>
      <c r="AH200" s="28"/>
      <c r="AI200" s="28"/>
    </row>
    <row r="201" spans="1:35" s="15" customFormat="1" ht="13.5" thickBot="1" x14ac:dyDescent="0.25">
      <c r="A201" s="62"/>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28"/>
    </row>
    <row r="202" spans="1:35" s="15" customFormat="1" ht="12.75" x14ac:dyDescent="0.2">
      <c r="A202" s="62"/>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row>
    <row r="203" spans="1:35" s="15" customFormat="1" ht="15.75" customHeight="1" x14ac:dyDescent="0.2">
      <c r="A203" s="62"/>
      <c r="B203" s="523" t="s">
        <v>486</v>
      </c>
      <c r="C203" s="523"/>
      <c r="D203" s="523"/>
      <c r="E203" s="523"/>
      <c r="F203" s="523"/>
      <c r="G203" s="753"/>
      <c r="H203" s="524" t="s">
        <v>491</v>
      </c>
      <c r="I203" s="525"/>
      <c r="J203" s="525"/>
      <c r="K203" s="525"/>
      <c r="L203" s="525"/>
      <c r="M203" s="525"/>
      <c r="N203" s="525"/>
      <c r="O203" s="525"/>
      <c r="P203" s="525"/>
      <c r="Q203" s="525"/>
      <c r="R203" s="525"/>
      <c r="S203" s="525"/>
      <c r="T203" s="526"/>
      <c r="U203" s="530" t="s">
        <v>696</v>
      </c>
      <c r="V203" s="531"/>
      <c r="W203" s="531"/>
      <c r="X203" s="531"/>
      <c r="Y203" s="531"/>
      <c r="Z203" s="531"/>
      <c r="AA203" s="531"/>
      <c r="AB203" s="531"/>
      <c r="AC203" s="531"/>
      <c r="AD203" s="531"/>
      <c r="AE203" s="531"/>
      <c r="AF203" s="531"/>
      <c r="AG203" s="532"/>
      <c r="AH203" s="28"/>
      <c r="AI203" s="28"/>
    </row>
    <row r="204" spans="1:35" s="15" customFormat="1" ht="20.25" customHeight="1" thickBot="1" x14ac:dyDescent="0.25">
      <c r="A204" s="62"/>
      <c r="B204" s="198"/>
      <c r="C204" s="198"/>
      <c r="D204" s="198"/>
      <c r="E204" s="198"/>
      <c r="F204" s="198"/>
      <c r="G204" s="198"/>
      <c r="H204" s="527"/>
      <c r="I204" s="528"/>
      <c r="J204" s="528"/>
      <c r="K204" s="528"/>
      <c r="L204" s="528"/>
      <c r="M204" s="528"/>
      <c r="N204" s="528"/>
      <c r="O204" s="528"/>
      <c r="P204" s="528"/>
      <c r="Q204" s="528"/>
      <c r="R204" s="528"/>
      <c r="S204" s="528"/>
      <c r="T204" s="529"/>
      <c r="U204" s="533"/>
      <c r="V204" s="534"/>
      <c r="W204" s="534"/>
      <c r="X204" s="534"/>
      <c r="Y204" s="534"/>
      <c r="Z204" s="534"/>
      <c r="AA204" s="534"/>
      <c r="AB204" s="534"/>
      <c r="AC204" s="534"/>
      <c r="AD204" s="534"/>
      <c r="AE204" s="534"/>
      <c r="AF204" s="534"/>
      <c r="AG204" s="535"/>
      <c r="AH204" s="28"/>
      <c r="AI204" s="28"/>
    </row>
    <row r="205" spans="1:35" s="15" customFormat="1" ht="12.75" customHeight="1" x14ac:dyDescent="0.2">
      <c r="A205" s="62"/>
      <c r="B205" s="536" t="s">
        <v>487</v>
      </c>
      <c r="C205" s="536"/>
      <c r="D205" s="536"/>
      <c r="E205" s="536"/>
      <c r="F205" s="536"/>
      <c r="G205" s="755"/>
      <c r="H205" s="537"/>
      <c r="I205" s="538"/>
      <c r="J205" s="538"/>
      <c r="K205" s="538"/>
      <c r="L205" s="538"/>
      <c r="M205" s="538"/>
      <c r="N205" s="538"/>
      <c r="O205" s="538"/>
      <c r="P205" s="538"/>
      <c r="Q205" s="538"/>
      <c r="R205" s="538"/>
      <c r="S205" s="538"/>
      <c r="T205" s="539"/>
      <c r="U205" s="540"/>
      <c r="V205" s="541"/>
      <c r="W205" s="541"/>
      <c r="X205" s="541"/>
      <c r="Y205" s="541"/>
      <c r="Z205" s="541"/>
      <c r="AA205" s="541"/>
      <c r="AB205" s="541"/>
      <c r="AC205" s="541"/>
      <c r="AD205" s="541"/>
      <c r="AE205" s="541"/>
      <c r="AF205" s="541"/>
      <c r="AG205" s="542"/>
      <c r="AH205" s="28"/>
      <c r="AI205" s="28"/>
    </row>
    <row r="206" spans="1:35" s="15" customFormat="1" ht="12.75" x14ac:dyDescent="0.2">
      <c r="A206" s="62"/>
      <c r="B206" s="536"/>
      <c r="C206" s="536"/>
      <c r="D206" s="536"/>
      <c r="E206" s="536"/>
      <c r="F206" s="536"/>
      <c r="G206" s="755"/>
      <c r="H206" s="543"/>
      <c r="I206" s="544"/>
      <c r="J206" s="544"/>
      <c r="K206" s="544"/>
      <c r="L206" s="544"/>
      <c r="M206" s="544"/>
      <c r="N206" s="544"/>
      <c r="O206" s="544"/>
      <c r="P206" s="544"/>
      <c r="Q206" s="544"/>
      <c r="R206" s="544"/>
      <c r="S206" s="544"/>
      <c r="T206" s="545"/>
      <c r="U206" s="546"/>
      <c r="V206" s="547"/>
      <c r="W206" s="547"/>
      <c r="X206" s="547"/>
      <c r="Y206" s="547"/>
      <c r="Z206" s="547"/>
      <c r="AA206" s="547"/>
      <c r="AB206" s="547"/>
      <c r="AC206" s="547"/>
      <c r="AD206" s="547"/>
      <c r="AE206" s="547"/>
      <c r="AF206" s="547"/>
      <c r="AG206" s="548"/>
      <c r="AH206" s="28"/>
      <c r="AI206" s="28"/>
    </row>
    <row r="207" spans="1:35" s="15" customFormat="1" ht="20.85" customHeight="1" x14ac:dyDescent="0.2">
      <c r="A207" s="62"/>
      <c r="B207" s="558" t="s">
        <v>488</v>
      </c>
      <c r="C207" s="558"/>
      <c r="D207" s="558"/>
      <c r="E207" s="558"/>
      <c r="F207" s="558"/>
      <c r="G207" s="756"/>
      <c r="H207" s="543"/>
      <c r="I207" s="544"/>
      <c r="J207" s="544"/>
      <c r="K207" s="544"/>
      <c r="L207" s="544"/>
      <c r="M207" s="544"/>
      <c r="N207" s="544"/>
      <c r="O207" s="544"/>
      <c r="P207" s="544"/>
      <c r="Q207" s="544"/>
      <c r="R207" s="544"/>
      <c r="S207" s="544"/>
      <c r="T207" s="545"/>
      <c r="U207" s="559"/>
      <c r="V207" s="560"/>
      <c r="W207" s="560"/>
      <c r="X207" s="560"/>
      <c r="Y207" s="560"/>
      <c r="Z207" s="560"/>
      <c r="AA207" s="560"/>
      <c r="AB207" s="560"/>
      <c r="AC207" s="560"/>
      <c r="AD207" s="560"/>
      <c r="AE207" s="560"/>
      <c r="AF207" s="560"/>
      <c r="AG207" s="561"/>
      <c r="AH207" s="28"/>
      <c r="AI207" s="28"/>
    </row>
    <row r="208" spans="1:35" s="15" customFormat="1" ht="12.75" x14ac:dyDescent="0.2">
      <c r="A208" s="62"/>
      <c r="B208" s="558" t="s">
        <v>489</v>
      </c>
      <c r="C208" s="558"/>
      <c r="D208" s="558"/>
      <c r="E208" s="558"/>
      <c r="F208" s="558"/>
      <c r="G208" s="756"/>
      <c r="H208" s="543"/>
      <c r="I208" s="544"/>
      <c r="J208" s="544"/>
      <c r="K208" s="544"/>
      <c r="L208" s="544"/>
      <c r="M208" s="544"/>
      <c r="N208" s="544"/>
      <c r="O208" s="544"/>
      <c r="P208" s="544"/>
      <c r="Q208" s="544"/>
      <c r="R208" s="544"/>
      <c r="S208" s="544"/>
      <c r="T208" s="545"/>
      <c r="U208" s="559"/>
      <c r="V208" s="560"/>
      <c r="W208" s="560"/>
      <c r="X208" s="560"/>
      <c r="Y208" s="560"/>
      <c r="Z208" s="560"/>
      <c r="AA208" s="560"/>
      <c r="AB208" s="560"/>
      <c r="AC208" s="560"/>
      <c r="AD208" s="560"/>
      <c r="AE208" s="560"/>
      <c r="AF208" s="560"/>
      <c r="AG208" s="561"/>
      <c r="AH208" s="28"/>
      <c r="AI208" s="28"/>
    </row>
    <row r="209" spans="1:35" s="15" customFormat="1" ht="12.75" customHeight="1" x14ac:dyDescent="0.2">
      <c r="A209" s="62"/>
      <c r="B209" s="536" t="s">
        <v>490</v>
      </c>
      <c r="C209" s="536"/>
      <c r="D209" s="536"/>
      <c r="E209" s="536"/>
      <c r="F209" s="536"/>
      <c r="G209" s="755"/>
      <c r="H209" s="543"/>
      <c r="I209" s="544"/>
      <c r="J209" s="544"/>
      <c r="K209" s="544"/>
      <c r="L209" s="544"/>
      <c r="M209" s="544"/>
      <c r="N209" s="544"/>
      <c r="O209" s="544"/>
      <c r="P209" s="544"/>
      <c r="Q209" s="544"/>
      <c r="R209" s="544"/>
      <c r="S209" s="544"/>
      <c r="T209" s="545"/>
      <c r="U209" s="549"/>
      <c r="V209" s="550"/>
      <c r="W209" s="550"/>
      <c r="X209" s="550"/>
      <c r="Y209" s="550"/>
      <c r="Z209" s="550"/>
      <c r="AA209" s="550"/>
      <c r="AB209" s="550"/>
      <c r="AC209" s="550"/>
      <c r="AD209" s="550"/>
      <c r="AE209" s="550"/>
      <c r="AF209" s="550"/>
      <c r="AG209" s="551"/>
      <c r="AH209" s="28"/>
      <c r="AI209" s="28"/>
    </row>
    <row r="210" spans="1:35" s="15" customFormat="1" ht="12.75" x14ac:dyDescent="0.2">
      <c r="A210" s="62"/>
      <c r="B210" s="536"/>
      <c r="C210" s="536"/>
      <c r="D210" s="536"/>
      <c r="E210" s="536"/>
      <c r="F210" s="536"/>
      <c r="G210" s="755"/>
      <c r="H210" s="552"/>
      <c r="I210" s="553"/>
      <c r="J210" s="553"/>
      <c r="K210" s="553"/>
      <c r="L210" s="553"/>
      <c r="M210" s="553"/>
      <c r="N210" s="553"/>
      <c r="O210" s="553"/>
      <c r="P210" s="553"/>
      <c r="Q210" s="553"/>
      <c r="R210" s="553"/>
      <c r="S210" s="553"/>
      <c r="T210" s="554"/>
      <c r="U210" s="555"/>
      <c r="V210" s="556"/>
      <c r="W210" s="556"/>
      <c r="X210" s="556"/>
      <c r="Y210" s="556"/>
      <c r="Z210" s="556"/>
      <c r="AA210" s="556"/>
      <c r="AB210" s="556"/>
      <c r="AC210" s="556"/>
      <c r="AD210" s="556"/>
      <c r="AE210" s="556"/>
      <c r="AF210" s="556"/>
      <c r="AG210" s="557"/>
      <c r="AH210" s="28"/>
      <c r="AI210" s="28"/>
    </row>
    <row r="211" spans="1:35" s="15" customFormat="1" ht="20.100000000000001" customHeight="1" x14ac:dyDescent="0.2">
      <c r="A211" s="62"/>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43" t="s">
        <v>712</v>
      </c>
      <c r="AH211" s="28"/>
      <c r="AI211" s="28"/>
    </row>
    <row r="212" spans="1:35" ht="12.75" hidden="1" customHeight="1" x14ac:dyDescent="0.2"/>
  </sheetData>
  <sheetProtection algorithmName="SHA-512" hashValue="mxfUOCsnYKOef5Sht374f5rRNffUFZKsXwUQL1SGTSYm+e6z+VrGhtrdnQlzyliMiCtLJs7lD4MyhBrEGAv3NQ==" saltValue="fhljDS3HN3XJh/S/G9BrAg==" spinCount="100000" sheet="1" formatCells="0" selectLockedCells="1"/>
  <mergeCells count="195">
    <mergeCell ref="B205:G206"/>
    <mergeCell ref="B207:G207"/>
    <mergeCell ref="B208:G208"/>
    <mergeCell ref="B209:G210"/>
    <mergeCell ref="H208:T208"/>
    <mergeCell ref="U208:AG208"/>
    <mergeCell ref="H209:T209"/>
    <mergeCell ref="U209:AG209"/>
    <mergeCell ref="H210:T210"/>
    <mergeCell ref="U210:AG210"/>
    <mergeCell ref="H205:T205"/>
    <mergeCell ref="U205:AG205"/>
    <mergeCell ref="H206:T206"/>
    <mergeCell ref="U206:AG206"/>
    <mergeCell ref="H207:T207"/>
    <mergeCell ref="U207:AG207"/>
    <mergeCell ref="B157:F157"/>
    <mergeCell ref="G157:I157"/>
    <mergeCell ref="J157:N157"/>
    <mergeCell ref="O157:S157"/>
    <mergeCell ref="T157:Z157"/>
    <mergeCell ref="AB157:AG157"/>
    <mergeCell ref="B156:F156"/>
    <mergeCell ref="G156:I156"/>
    <mergeCell ref="J156:N156"/>
    <mergeCell ref="O156:S156"/>
    <mergeCell ref="T156:Z156"/>
    <mergeCell ref="AB156:AG156"/>
    <mergeCell ref="B193:AH193"/>
    <mergeCell ref="B195:AG200"/>
    <mergeCell ref="B203:G203"/>
    <mergeCell ref="H203:T204"/>
    <mergeCell ref="U203:AG204"/>
    <mergeCell ref="AB171:AG171"/>
    <mergeCell ref="AP166:AP167"/>
    <mergeCell ref="AQ166:AQ167"/>
    <mergeCell ref="I172:Z172"/>
    <mergeCell ref="AB172:AG172"/>
    <mergeCell ref="D185:AH185"/>
    <mergeCell ref="AB170:AG170"/>
    <mergeCell ref="AT158:AT160"/>
    <mergeCell ref="AU158:AU160"/>
    <mergeCell ref="B164:AH166"/>
    <mergeCell ref="AT161:AT167"/>
    <mergeCell ref="AU161:AU167"/>
    <mergeCell ref="AP162:AP163"/>
    <mergeCell ref="AQ162:AQ163"/>
    <mergeCell ref="AP164:AP165"/>
    <mergeCell ref="AQ164:AQ165"/>
    <mergeCell ref="O159:S159"/>
    <mergeCell ref="AB159:AG159"/>
    <mergeCell ref="AB161:AE161"/>
    <mergeCell ref="AF161:AG161"/>
    <mergeCell ref="AB162:AE162"/>
    <mergeCell ref="AF162:AG162"/>
    <mergeCell ref="B158:F158"/>
    <mergeCell ref="G158:I158"/>
    <mergeCell ref="J158:N158"/>
    <mergeCell ref="O158:S158"/>
    <mergeCell ref="T158:Z158"/>
    <mergeCell ref="AB158:AG158"/>
    <mergeCell ref="B155:F155"/>
    <mergeCell ref="G155:I155"/>
    <mergeCell ref="J155:N155"/>
    <mergeCell ref="O155:S155"/>
    <mergeCell ref="T155:Z155"/>
    <mergeCell ref="AB155:AG155"/>
    <mergeCell ref="B153:F154"/>
    <mergeCell ref="G153:I154"/>
    <mergeCell ref="J153:N154"/>
    <mergeCell ref="O153:S154"/>
    <mergeCell ref="T153:Z154"/>
    <mergeCell ref="AB153:AG154"/>
    <mergeCell ref="K138:M138"/>
    <mergeCell ref="B140:AH141"/>
    <mergeCell ref="B150:Y150"/>
    <mergeCell ref="P136:Q136"/>
    <mergeCell ref="R136:S136"/>
    <mergeCell ref="T136:U136"/>
    <mergeCell ref="V136:W136"/>
    <mergeCell ref="X136:Y136"/>
    <mergeCell ref="Z136:AA136"/>
    <mergeCell ref="D147:AG148"/>
    <mergeCell ref="X135:Y135"/>
    <mergeCell ref="Z135:AA135"/>
    <mergeCell ref="AB135:AC135"/>
    <mergeCell ref="AD135:AE135"/>
    <mergeCell ref="AF135:AH135"/>
    <mergeCell ref="F136:G136"/>
    <mergeCell ref="H136:I136"/>
    <mergeCell ref="J136:K136"/>
    <mergeCell ref="L136:M136"/>
    <mergeCell ref="N136:O136"/>
    <mergeCell ref="AB136:AC136"/>
    <mergeCell ref="AD136:AE136"/>
    <mergeCell ref="AF136:AH136"/>
    <mergeCell ref="F135:G135"/>
    <mergeCell ref="H135:I135"/>
    <mergeCell ref="J135:K135"/>
    <mergeCell ref="L135:M135"/>
    <mergeCell ref="N135:O135"/>
    <mergeCell ref="P135:Q135"/>
    <mergeCell ref="R135:S135"/>
    <mergeCell ref="T135:U135"/>
    <mergeCell ref="V135:W135"/>
    <mergeCell ref="AC126:AE126"/>
    <mergeCell ref="AF126:AG126"/>
    <mergeCell ref="O132:P132"/>
    <mergeCell ref="F134:G134"/>
    <mergeCell ref="H134:I134"/>
    <mergeCell ref="J134:K134"/>
    <mergeCell ref="L134:M134"/>
    <mergeCell ref="N134:O134"/>
    <mergeCell ref="P134:Q134"/>
    <mergeCell ref="AD134:AE134"/>
    <mergeCell ref="R134:S134"/>
    <mergeCell ref="T134:U134"/>
    <mergeCell ref="V134:W134"/>
    <mergeCell ref="X134:Y134"/>
    <mergeCell ref="Z134:AA134"/>
    <mergeCell ref="AB134:AC134"/>
    <mergeCell ref="U121:V121"/>
    <mergeCell ref="Y121:AH124"/>
    <mergeCell ref="U122:V122"/>
    <mergeCell ref="U124:V124"/>
    <mergeCell ref="B107:N107"/>
    <mergeCell ref="N111:P111"/>
    <mergeCell ref="N117:P117"/>
    <mergeCell ref="N118:P118"/>
    <mergeCell ref="N119:P119"/>
    <mergeCell ref="AK113:AM113"/>
    <mergeCell ref="B114:U114"/>
    <mergeCell ref="B115:U115"/>
    <mergeCell ref="N97:P97"/>
    <mergeCell ref="N101:P101"/>
    <mergeCell ref="AE101:AF101"/>
    <mergeCell ref="N103:P103"/>
    <mergeCell ref="AE103:AF103"/>
    <mergeCell ref="N104:P104"/>
    <mergeCell ref="AE104:AF104"/>
    <mergeCell ref="B108:N109"/>
    <mergeCell ref="O109:AH110"/>
    <mergeCell ref="N87:P87"/>
    <mergeCell ref="AE87:AF87"/>
    <mergeCell ref="P88:Q88"/>
    <mergeCell ref="AC90:AE90"/>
    <mergeCell ref="AF90:AG90"/>
    <mergeCell ref="D93:V94"/>
    <mergeCell ref="D71:AA72"/>
    <mergeCell ref="AC71:AI74"/>
    <mergeCell ref="N84:P84"/>
    <mergeCell ref="AE84:AF84"/>
    <mergeCell ref="N86:P86"/>
    <mergeCell ref="AE86:AF86"/>
    <mergeCell ref="AC76:AG77"/>
    <mergeCell ref="B81:AG82"/>
    <mergeCell ref="AC66:AE66"/>
    <mergeCell ref="B2:F5"/>
    <mergeCell ref="G2:O5"/>
    <mergeCell ref="P2:Y5"/>
    <mergeCell ref="Z2:AH5"/>
    <mergeCell ref="B7:E7"/>
    <mergeCell ref="F7:P7"/>
    <mergeCell ref="Q7:T7"/>
    <mergeCell ref="U7:Z7"/>
    <mergeCell ref="AE7:AH7"/>
    <mergeCell ref="AF66:AG66"/>
    <mergeCell ref="AC49:AE49"/>
    <mergeCell ref="AF49:AG49"/>
    <mergeCell ref="AC50:AE50"/>
    <mergeCell ref="AF50:AG50"/>
    <mergeCell ref="AF29:AG29"/>
    <mergeCell ref="AW94:BC94"/>
    <mergeCell ref="BD94:BG94"/>
    <mergeCell ref="F9:AH9"/>
    <mergeCell ref="F23:G23"/>
    <mergeCell ref="S23:AH24"/>
    <mergeCell ref="H29:J29"/>
    <mergeCell ref="Q29:S29"/>
    <mergeCell ref="T29:U29"/>
    <mergeCell ref="X29:Y29"/>
    <mergeCell ref="D53:AB54"/>
    <mergeCell ref="H57:J57"/>
    <mergeCell ref="AC53:AG54"/>
    <mergeCell ref="E34:M36"/>
    <mergeCell ref="AC34:AE34"/>
    <mergeCell ref="AF34:AG34"/>
    <mergeCell ref="AC35:AE35"/>
    <mergeCell ref="AF35:AG35"/>
    <mergeCell ref="H41:J41"/>
    <mergeCell ref="M41:AH42"/>
    <mergeCell ref="AC61:AE61"/>
    <mergeCell ref="AF61:AG61"/>
    <mergeCell ref="AC62:AE62"/>
    <mergeCell ref="AF62:AG62"/>
  </mergeCells>
  <conditionalFormatting sqref="A89:T90 V89:Z90 AB89:AB90">
    <cfRule type="expression" dxfId="192" priority="84">
      <formula>$AM$17=FALSE</formula>
    </cfRule>
  </conditionalFormatting>
  <conditionalFormatting sqref="A75:X75">
    <cfRule type="expression" dxfId="191" priority="105">
      <formula>$AM$17=FALSE</formula>
    </cfRule>
  </conditionalFormatting>
  <conditionalFormatting sqref="A76:Y78">
    <cfRule type="expression" dxfId="190" priority="106">
      <formula>$AM$17=FALSE</formula>
    </cfRule>
  </conditionalFormatting>
  <conditionalFormatting sqref="A151:AG162 A169:AG173">
    <cfRule type="expression" dxfId="189" priority="5">
      <formula>$AJ$145=TRUE</formula>
    </cfRule>
  </conditionalFormatting>
  <conditionalFormatting sqref="A92:AI107 A108:B108 O108:AI108 A109 AI109:AI110 A110:N110 A111:AI127">
    <cfRule type="expression" dxfId="188" priority="9">
      <formula>AND($AM$17=TRUE,$AK$17=TRUE)</formula>
    </cfRule>
  </conditionalFormatting>
  <conditionalFormatting sqref="A70:AJ70 A71:D71 AB71:AB72 A72:C72 A73:Z73 A74:AB74 AI75:AJ75 AA76:AC76 B84:K84 N84 S84:AB84 AE84:AH84 Q84:Q87 B85:O85 B86:N87 S86:S87 S87:AH87 A88:AI88 AH89:AI90 AA90 AC90:AG90 A91:AI92 A95:AI99 AH76:AJ76 AI77:AJ78 A79:AI80 A81:B81 AH81:AI82 B83:Q83 Q117:R117 B117:C119 E117:E119 G117:K119 N117:N119 A114:B115 V126:AI126 AJ71:AJ74 AJ79:AJ87 A82:A87 AJ89:AJ105 A93:D93 W93:AI94 A94:C94 A100:A104 AI100:AI104 N101 N102:O102 A105:AI105 A106:AJ106 A107:B108 O107:AJ108 A109 AI109:AJ110 A110:N110 A111:A112 H112:Q112 S112:S113 AJ112:AJ119 A113:Q113 S116:S119 A116:A123 Q118:Q119 C120:E120 G120:AI120 N121:T121 Y121 U121:X123 AI121:AI125 N122:S123 AJ122:AJ127 A124:H125 J124:J125 L124:P125 A126:J126 L126:T126 A128:AI128 AM128:AM129">
    <cfRule type="expression" dxfId="187" priority="107">
      <formula>$AM$17=FALSE</formula>
    </cfRule>
  </conditionalFormatting>
  <conditionalFormatting sqref="B108">
    <cfRule type="expression" dxfId="186" priority="213">
      <formula>OR($B$107=$AK$128,$B$107=$AK$127)</formula>
    </cfRule>
  </conditionalFormatting>
  <conditionalFormatting sqref="B101:K101 B102:M104">
    <cfRule type="expression" dxfId="185" priority="13">
      <formula>$AM$17=FALSE</formula>
    </cfRule>
  </conditionalFormatting>
  <conditionalFormatting sqref="B118:K119 N118:N119">
    <cfRule type="expression" dxfId="184" priority="63">
      <formula>$AK$120=1</formula>
    </cfRule>
  </conditionalFormatting>
  <conditionalFormatting sqref="B86:N87 Q84:AI87 B75:Y76 AB71:AC71 B70:AI70 B71:D71 B72:C72 AB72 B73:AB74 AA75:AI75 AA76:AC76 B84:N84 B85:O85 B88:AI91">
    <cfRule type="expression" dxfId="183" priority="78">
      <formula>$AK$17=FALSE</formula>
    </cfRule>
  </conditionalFormatting>
  <conditionalFormatting sqref="B111:N111">
    <cfRule type="expression" dxfId="182" priority="59">
      <formula>$AM$17=FALSE</formula>
    </cfRule>
  </conditionalFormatting>
  <conditionalFormatting sqref="B115:U115">
    <cfRule type="expression" dxfId="181" priority="42">
      <formula>$B$114&lt;&gt;$AO$81</formula>
    </cfRule>
  </conditionalFormatting>
  <conditionalFormatting sqref="B26:Z26 AB26 A29">
    <cfRule type="expression" dxfId="180" priority="102">
      <formula>$AK$17=FALSE</formula>
    </cfRule>
  </conditionalFormatting>
  <conditionalFormatting sqref="B49:AB49">
    <cfRule type="expression" dxfId="179" priority="79">
      <formula>$AL$17=FALSE</formula>
    </cfRule>
  </conditionalFormatting>
  <conditionalFormatting sqref="B127:AH127">
    <cfRule type="expression" dxfId="178" priority="90">
      <formula>$AK$19=FALSE</formula>
    </cfRule>
  </conditionalFormatting>
  <conditionalFormatting sqref="B129:AH137">
    <cfRule type="expression" dxfId="177" priority="7">
      <formula>$AV$161=0</formula>
    </cfRule>
  </conditionalFormatting>
  <conditionalFormatting sqref="B164:AH166">
    <cfRule type="expression" dxfId="176" priority="130">
      <formula>$AJ$158&gt;=$AJ$159</formula>
    </cfRule>
    <cfRule type="expression" dxfId="175" priority="129">
      <formula>$AJ$158&lt;$AJ$159</formula>
    </cfRule>
    <cfRule type="expression" dxfId="174" priority="40">
      <formula>$B$164="Es gibt keine beschriebene Solaranlage"</formula>
    </cfRule>
    <cfRule type="expression" dxfId="173" priority="41">
      <formula>$B$164="Ergänzen Sie die Solarsimulation, damit die Berechnung erfolgen kannr"</formula>
    </cfRule>
  </conditionalFormatting>
  <conditionalFormatting sqref="D179">
    <cfRule type="expression" dxfId="172" priority="55">
      <formula>$AL$17=FALSE</formula>
    </cfRule>
  </conditionalFormatting>
  <conditionalFormatting sqref="D180">
    <cfRule type="expression" dxfId="171" priority="54">
      <formula>$AV$161=0</formula>
    </cfRule>
  </conditionalFormatting>
  <conditionalFormatting sqref="D181">
    <cfRule type="expression" dxfId="170" priority="53">
      <formula>OR($AK$22=2,$AK$22=0)</formula>
    </cfRule>
  </conditionalFormatting>
  <conditionalFormatting sqref="D182">
    <cfRule type="expression" dxfId="169" priority="52">
      <formula>$AK$12&lt;&gt;1</formula>
    </cfRule>
  </conditionalFormatting>
  <conditionalFormatting sqref="D183">
    <cfRule type="expression" dxfId="168" priority="51">
      <formula>$AK$64=FALSE</formula>
    </cfRule>
  </conditionalFormatting>
  <conditionalFormatting sqref="D184">
    <cfRule type="expression" dxfId="167" priority="50">
      <formula>$AK$44=FALSE</formula>
    </cfRule>
  </conditionalFormatting>
  <conditionalFormatting sqref="D185">
    <cfRule type="expression" dxfId="166" priority="49">
      <formula>$AK$31=FALSE</formula>
    </cfRule>
  </conditionalFormatting>
  <conditionalFormatting sqref="D186">
    <cfRule type="expression" dxfId="165" priority="48">
      <formula>OR(AK91=0,AL91=0,AK105=0,AL105=0)</formula>
    </cfRule>
  </conditionalFormatting>
  <conditionalFormatting sqref="D187">
    <cfRule type="expression" dxfId="164" priority="47">
      <formula>OR($AK$22=1,$AJ$167=0)</formula>
    </cfRule>
  </conditionalFormatting>
  <conditionalFormatting sqref="D188">
    <cfRule type="expression" dxfId="163" priority="46">
      <formula>$AJ$172=0</formula>
    </cfRule>
  </conditionalFormatting>
  <conditionalFormatting sqref="D189">
    <cfRule type="expression" dxfId="162" priority="45">
      <formula>OR($AK$75&lt;&gt;1,$AK$75&lt;&gt;4)</formula>
    </cfRule>
  </conditionalFormatting>
  <conditionalFormatting sqref="D190">
    <cfRule type="expression" dxfId="161" priority="44">
      <formula>$AK$75&lt;&gt;5</formula>
    </cfRule>
  </conditionalFormatting>
  <conditionalFormatting sqref="D191">
    <cfRule type="expression" dxfId="160" priority="43">
      <formula>$AK$47=FALSE</formula>
    </cfRule>
  </conditionalFormatting>
  <conditionalFormatting sqref="D173:AB173 A170:A171 A172:B173">
    <cfRule type="expression" dxfId="159" priority="100">
      <formula>$AK$19=FALSE</formula>
    </cfRule>
  </conditionalFormatting>
  <conditionalFormatting sqref="E50:AB50">
    <cfRule type="expression" dxfId="158" priority="73">
      <formula>$AL$17=FALSE</formula>
    </cfRule>
  </conditionalFormatting>
  <conditionalFormatting sqref="F119">
    <cfRule type="expression" dxfId="157" priority="65">
      <formula>$AM$17=FALSE</formula>
    </cfRule>
  </conditionalFormatting>
  <conditionalFormatting sqref="G29:AH29">
    <cfRule type="expression" dxfId="156" priority="1">
      <formula>$AK$17=FALSE</formula>
    </cfRule>
  </conditionalFormatting>
  <conditionalFormatting sqref="J121">
    <cfRule type="expression" dxfId="155" priority="22">
      <formula>$AK$17=FALSE</formula>
    </cfRule>
  </conditionalFormatting>
  <conditionalFormatting sqref="J121:J122">
    <cfRule type="expression" dxfId="154" priority="23">
      <formula>$AM$17=FALSE</formula>
    </cfRule>
  </conditionalFormatting>
  <conditionalFormatting sqref="K123:K126">
    <cfRule type="expression" dxfId="153" priority="67">
      <formula>$AM$17=FALSE</formula>
    </cfRule>
  </conditionalFormatting>
  <conditionalFormatting sqref="L117:M119">
    <cfRule type="expression" dxfId="152" priority="20">
      <formula>$AM$17=FALSE</formula>
    </cfRule>
  </conditionalFormatting>
  <conditionalFormatting sqref="L124:M125">
    <cfRule type="cellIs" dxfId="151" priority="109" operator="equal">
      <formula>0</formula>
    </cfRule>
  </conditionalFormatting>
  <conditionalFormatting sqref="M41">
    <cfRule type="expression" dxfId="150" priority="15">
      <formula>$AL$17=FALSE</formula>
    </cfRule>
  </conditionalFormatting>
  <conditionalFormatting sqref="M105:N106">
    <cfRule type="cellIs" dxfId="149" priority="108" operator="equal">
      <formula>0</formula>
    </cfRule>
  </conditionalFormatting>
  <conditionalFormatting sqref="N91">
    <cfRule type="expression" dxfId="148" priority="113">
      <formula>"ou($AC$82&lt;&gt;0;$AC$83&lt;&gt;0)"</formula>
    </cfRule>
  </conditionalFormatting>
  <conditionalFormatting sqref="N103:N104 B100:Q100 Q101:Q104 AE104:AH104">
    <cfRule type="expression" dxfId="147" priority="88">
      <formula>$AM$17=FALSE</formula>
    </cfRule>
  </conditionalFormatting>
  <conditionalFormatting sqref="N86:P86">
    <cfRule type="expression" dxfId="146" priority="75">
      <formula>$N$87&lt;&gt;0</formula>
    </cfRule>
  </conditionalFormatting>
  <conditionalFormatting sqref="N103:P103">
    <cfRule type="expression" dxfId="145" priority="77">
      <formula>$N$104&lt;&gt;0</formula>
    </cfRule>
  </conditionalFormatting>
  <conditionalFormatting sqref="N111:P111">
    <cfRule type="expression" dxfId="144" priority="58">
      <formula>$N$104&lt;&gt;0</formula>
    </cfRule>
  </conditionalFormatting>
  <conditionalFormatting sqref="O109">
    <cfRule type="expression" dxfId="143" priority="3">
      <formula>$AM$17=FALSE</formula>
    </cfRule>
    <cfRule type="expression" dxfId="142" priority="2">
      <formula>AND($AM$17=TRUE, $AK$17=TRUE)</formula>
    </cfRule>
  </conditionalFormatting>
  <conditionalFormatting sqref="Q111:AJ111">
    <cfRule type="expression" dxfId="141" priority="61">
      <formula>$AM$17=FALSE</formula>
    </cfRule>
  </conditionalFormatting>
  <conditionalFormatting sqref="R117">
    <cfRule type="cellIs" dxfId="140" priority="64" operator="equal">
      <formula>0</formula>
    </cfRule>
  </conditionalFormatting>
  <conditionalFormatting sqref="S75">
    <cfRule type="expression" dxfId="139" priority="17">
      <formula>$AM$17=FALSE</formula>
    </cfRule>
  </conditionalFormatting>
  <conditionalFormatting sqref="S101:AB101">
    <cfRule type="expression" dxfId="138" priority="12">
      <formula>$AM$17=FALSE</formula>
    </cfRule>
  </conditionalFormatting>
  <conditionalFormatting sqref="S102:AD104">
    <cfRule type="expression" dxfId="137" priority="10">
      <formula>$AM$17=FALSE</formula>
    </cfRule>
  </conditionalFormatting>
  <conditionalFormatting sqref="S86:AE86">
    <cfRule type="expression" dxfId="136" priority="89">
      <formula>$AM$17=FALSE</formula>
    </cfRule>
  </conditionalFormatting>
  <conditionalFormatting sqref="S66:AH66">
    <cfRule type="expression" dxfId="135" priority="39">
      <formula>$AK$19=FALSE</formula>
    </cfRule>
  </conditionalFormatting>
  <conditionalFormatting sqref="S85:AH85 S83:AH83">
    <cfRule type="expression" dxfId="134" priority="95">
      <formula>$AM$17=FALSE</formula>
    </cfRule>
  </conditionalFormatting>
  <conditionalFormatting sqref="S100:AH100 AE101:AH102">
    <cfRule type="expression" dxfId="133" priority="87">
      <formula>$AM$17=FALSE</formula>
    </cfRule>
  </conditionalFormatting>
  <conditionalFormatting sqref="T38:Y38 B37:S39 T39:AH39">
    <cfRule type="expression" dxfId="132" priority="114">
      <formula>$AL$17=FALSE</formula>
    </cfRule>
  </conditionalFormatting>
  <conditionalFormatting sqref="U75">
    <cfRule type="expression" dxfId="131" priority="8">
      <formula>$AM$17=FALSE</formula>
    </cfRule>
  </conditionalFormatting>
  <conditionalFormatting sqref="U124:W125">
    <cfRule type="expression" dxfId="130" priority="68">
      <formula>$AM$17=FALSE</formula>
    </cfRule>
  </conditionalFormatting>
  <conditionalFormatting sqref="W75">
    <cfRule type="expression" dxfId="129" priority="56">
      <formula>$AM$17=FALSE</formula>
    </cfRule>
  </conditionalFormatting>
  <conditionalFormatting sqref="Y26">
    <cfRule type="cellIs" dxfId="128" priority="104" operator="equal">
      <formula>"Eigenstromerzeugung erforderlich"</formula>
    </cfRule>
    <cfRule type="expression" dxfId="127" priority="101">
      <formula>$AK$17=FALSE</formula>
    </cfRule>
    <cfRule type="cellIs" dxfId="126" priority="103" operator="equal">
      <formula>"Keine Eigenstromerzeugung erforderlich"</formula>
    </cfRule>
  </conditionalFormatting>
  <conditionalFormatting sqref="Y38">
    <cfRule type="cellIs" dxfId="125" priority="82" operator="equal">
      <formula>"Keine Eigenstromerzeugung erforderlich"</formula>
    </cfRule>
    <cfRule type="cellIs" dxfId="124" priority="83" operator="equal">
      <formula>"Eigenstromerzeugung erforderlich"</formula>
    </cfRule>
    <cfRule type="expression" dxfId="123" priority="81">
      <formula>$AL$17=FALSE</formula>
    </cfRule>
  </conditionalFormatting>
  <conditionalFormatting sqref="AA126">
    <cfRule type="expression" dxfId="122" priority="21">
      <formula>$AK$17=FALSE</formula>
    </cfRule>
  </conditionalFormatting>
  <conditionalFormatting sqref="AB34">
    <cfRule type="expression" dxfId="121" priority="80">
      <formula>$AK$17=FALSE</formula>
    </cfRule>
  </conditionalFormatting>
  <conditionalFormatting sqref="AB61">
    <cfRule type="expression" dxfId="120" priority="38">
      <formula>$AK$19=FALSE</formula>
    </cfRule>
  </conditionalFormatting>
  <conditionalFormatting sqref="AB173:AG173 AB145:AG146">
    <cfRule type="expression" dxfId="119" priority="57">
      <formula>$AP$176&lt;&gt;0</formula>
    </cfRule>
  </conditionalFormatting>
  <conditionalFormatting sqref="AC57">
    <cfRule type="expression" dxfId="118" priority="96">
      <formula>$AL$17=FALSE</formula>
    </cfRule>
    <cfRule type="cellIs" dxfId="117" priority="99" operator="equal">
      <formula>"Nachweisspflichtiges Projekt"</formula>
    </cfRule>
    <cfRule type="cellIs" dxfId="116" priority="98" operator="equal">
      <formula>"Befreites Projekt"</formula>
    </cfRule>
    <cfRule type="expression" dxfId="115" priority="97">
      <formula>$AL$17=FALSE</formula>
    </cfRule>
  </conditionalFormatting>
  <conditionalFormatting sqref="AC71">
    <cfRule type="expression" dxfId="114" priority="92">
      <formula>$AM$17=FALSE</formula>
    </cfRule>
    <cfRule type="cellIs" dxfId="113" priority="93" operator="equal">
      <formula>"Keine Eigenstromrzeugung erforderlich"</formula>
    </cfRule>
    <cfRule type="cellIs" dxfId="112" priority="94" operator="equal">
      <formula>"Eigenstromrzeugung erforderlich"</formula>
    </cfRule>
    <cfRule type="expression" dxfId="111" priority="131">
      <formula>"ak74=4"</formula>
    </cfRule>
  </conditionalFormatting>
  <conditionalFormatting sqref="AC34:AE34">
    <cfRule type="cellIs" dxfId="110" priority="112" operator="equal">
      <formula>0</formula>
    </cfRule>
  </conditionalFormatting>
  <conditionalFormatting sqref="AC49:AE49">
    <cfRule type="cellIs" dxfId="109" priority="111" operator="equal">
      <formula>0</formula>
    </cfRule>
  </conditionalFormatting>
  <conditionalFormatting sqref="AC61:AE61">
    <cfRule type="cellIs" dxfId="108" priority="110" operator="equal">
      <formula>0</formula>
    </cfRule>
  </conditionalFormatting>
  <conditionalFormatting sqref="AC49:AG49">
    <cfRule type="expression" dxfId="107" priority="72">
      <formula>$AC$50&lt;&gt;0</formula>
    </cfRule>
  </conditionalFormatting>
  <conditionalFormatting sqref="AC34:AH35 B25:AH25 AD26:AH26 B27:AH28 H30:AH30 B31:AH33 B34:E34 N34:AA35 B35:D35">
    <cfRule type="expression" dxfId="106" priority="117">
      <formula>$AK$17=FALSE</formula>
    </cfRule>
  </conditionalFormatting>
  <conditionalFormatting sqref="AC49:AH50 T37:AH37 B40:AH40 B41:L42 B43:AH48 B50:C50 B51:AH51">
    <cfRule type="expression" dxfId="105" priority="116">
      <formula>$AL$17=FALSE</formula>
    </cfRule>
  </conditionalFormatting>
  <conditionalFormatting sqref="AC61:AH62 B52:AH52 B53:D53 AC53 AH53:AH54 B54:C54 B55:AH56 B57:AB57 AD57:AH57 B58:AH60 B61:AA62 B63:AH65 B66:Q66 B67:B68 E67:E68 G67:H68 J67:K68 M67:M68 O67:O68 Q67:AF68 AH67:AH68 B69:AH69 AH170:AI173">
    <cfRule type="expression" dxfId="104" priority="128">
      <formula>$AK$19=FALSE</formula>
    </cfRule>
  </conditionalFormatting>
  <conditionalFormatting sqref="AC71:AI74">
    <cfRule type="expression" dxfId="103" priority="16">
      <formula>$AK$75=6</formula>
    </cfRule>
  </conditionalFormatting>
  <conditionalFormatting sqref="AD22:AE22 AG22">
    <cfRule type="cellIs" dxfId="102" priority="124" operator="equal">
      <formula>"à renseigner"</formula>
    </cfRule>
  </conditionalFormatting>
  <conditionalFormatting sqref="AD12:AG12">
    <cfRule type="cellIs" dxfId="101" priority="125" operator="equal">
      <formula>"à renseigner"</formula>
    </cfRule>
  </conditionalFormatting>
  <conditionalFormatting sqref="AD39:AH40 AD43:AH43">
    <cfRule type="cellIs" dxfId="100" priority="127" operator="equal">
      <formula>"à renseigner"</formula>
    </cfRule>
  </conditionalFormatting>
  <conditionalFormatting sqref="AE39">
    <cfRule type="cellIs" dxfId="99" priority="121" operator="equal">
      <formula>"à renseigner"</formula>
    </cfRule>
  </conditionalFormatting>
  <conditionalFormatting sqref="AE103">
    <cfRule type="expression" dxfId="98" priority="85">
      <formula>$AM$17=FALSE</formula>
    </cfRule>
  </conditionalFormatting>
  <conditionalFormatting sqref="AE86:AF86">
    <cfRule type="expression" dxfId="97" priority="74">
      <formula>$AE$87&lt;&gt;0</formula>
    </cfRule>
  </conditionalFormatting>
  <conditionalFormatting sqref="AE103:AF103">
    <cfRule type="expression" dxfId="96" priority="76">
      <formula>$AE$104&lt;&gt;0</formula>
    </cfRule>
  </conditionalFormatting>
  <conditionalFormatting sqref="AF39">
    <cfRule type="expression" dxfId="95" priority="118">
      <formula>$AE$26="pas concerné"</formula>
    </cfRule>
    <cfRule type="cellIs" dxfId="94" priority="119" operator="equal">
      <formula>"pas concerné"</formula>
    </cfRule>
  </conditionalFormatting>
  <conditionalFormatting sqref="AF96">
    <cfRule type="expression" dxfId="93" priority="71">
      <formula>$AK$17=FALSE</formula>
    </cfRule>
  </conditionalFormatting>
  <conditionalFormatting sqref="AF39:AG39">
    <cfRule type="cellIs" dxfId="92" priority="120" operator="equal">
      <formula>"à renseigner"</formula>
    </cfRule>
  </conditionalFormatting>
  <conditionalFormatting sqref="AG86:AH86">
    <cfRule type="expression" dxfId="91" priority="91">
      <formula>$AM$17=FALSE</formula>
    </cfRule>
  </conditionalFormatting>
  <conditionalFormatting sqref="AG103:AH103">
    <cfRule type="expression" dxfId="90" priority="86">
      <formula>$AM$17=FALSE</formula>
    </cfRule>
  </conditionalFormatting>
  <conditionalFormatting sqref="AH76:AI77 B77:AB77 B78:AI80 B81 AH81:AI82 B83:AI83">
    <cfRule type="expression" dxfId="89" priority="69">
      <formula>$AK$17=FALSE</formula>
    </cfRule>
  </conditionalFormatting>
  <conditionalFormatting sqref="AU128:AU129">
    <cfRule type="expression" dxfId="88" priority="4">
      <formula>$AM$17=FALSE</formula>
    </cfRule>
  </conditionalFormatting>
  <conditionalFormatting sqref="BF96:BF130">
    <cfRule type="cellIs" dxfId="87" priority="6" operator="equal">
      <formula>2</formula>
    </cfRule>
  </conditionalFormatting>
  <dataValidations count="4">
    <dataValidation type="list" showInputMessage="1" showErrorMessage="1" sqref="B108" xr:uid="{00000000-0002-0000-0400-000000000000}">
      <formula1>$AK$135:$AK$143</formula1>
    </dataValidation>
    <dataValidation type="list" showInputMessage="1" showErrorMessage="1" sqref="B115:U115" xr:uid="{00000000-0002-0000-0400-000001000000}">
      <formula1>IF($B$114=$AO$81,$AO$81,IF($B$114=$AO$82,$AO$87:$AO$91,IF($B$114=$AO$83,$AO$95:$AO$100,IF($B$114=$AO$84,$AO$102:$AO$108,IF($B$114=$AO$85,$AP$85)))))</formula1>
    </dataValidation>
    <dataValidation type="list" showInputMessage="1" showErrorMessage="1" sqref="B107:N107" xr:uid="{00000000-0002-0000-0400-000002000000}">
      <formula1>$AK$127:$AK$131</formula1>
    </dataValidation>
    <dataValidation type="list" showInputMessage="1" showErrorMessage="1" sqref="B114:U114" xr:uid="{00000000-0002-0000-0400-000003000000}">
      <formula1>$AO$81:$AO$85</formula1>
    </dataValidation>
  </dataValidations>
  <pageMargins left="0.23622047244094491" right="0.23622047244094491" top="0.74803149606299213" bottom="0.74803149606299213" header="0.31496062992125984" footer="0.31496062992125984"/>
  <pageSetup paperSize="9" scale="70" orientation="portrait" r:id="rId1"/>
  <rowBreaks count="3" manualBreakCount="3">
    <brk id="69" max="34" man="1"/>
    <brk id="127" max="34" man="1"/>
    <brk id="17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114300</xdr:colOff>
                    <xdr:row>16</xdr:row>
                    <xdr:rowOff>28575</xdr:rowOff>
                  </from>
                  <to>
                    <xdr:col>2</xdr:col>
                    <xdr:colOff>152400</xdr:colOff>
                    <xdr:row>16</xdr:row>
                    <xdr:rowOff>180975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314325</xdr:colOff>
                    <xdr:row>16</xdr:row>
                    <xdr:rowOff>28575</xdr:rowOff>
                  </from>
                  <to>
                    <xdr:col>15</xdr:col>
                    <xdr:colOff>0</xdr:colOff>
                    <xdr:row>16</xdr:row>
                    <xdr:rowOff>180975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24</xdr:col>
                    <xdr:colOff>76200</xdr:colOff>
                    <xdr:row>16</xdr:row>
                    <xdr:rowOff>0</xdr:rowOff>
                  </from>
                  <to>
                    <xdr:col>25</xdr:col>
                    <xdr:colOff>47625</xdr:colOff>
                    <xdr:row>17</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xdr:col>
                    <xdr:colOff>104775</xdr:colOff>
                    <xdr:row>43</xdr:row>
                    <xdr:rowOff>38100</xdr:rowOff>
                  </from>
                  <to>
                    <xdr:col>3</xdr:col>
                    <xdr:colOff>142875</xdr:colOff>
                    <xdr:row>43</xdr:row>
                    <xdr:rowOff>180975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xdr:col>
                    <xdr:colOff>104775</xdr:colOff>
                    <xdr:row>44</xdr:row>
                    <xdr:rowOff>28575</xdr:rowOff>
                  </from>
                  <to>
                    <xdr:col>3</xdr:col>
                    <xdr:colOff>142875</xdr:colOff>
                    <xdr:row>44</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xdr:col>
                    <xdr:colOff>104775</xdr:colOff>
                    <xdr:row>45</xdr:row>
                    <xdr:rowOff>28575</xdr:rowOff>
                  </from>
                  <to>
                    <xdr:col>3</xdr:col>
                    <xdr:colOff>142875</xdr:colOff>
                    <xdr:row>45</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xdr:col>
                    <xdr:colOff>104775</xdr:colOff>
                    <xdr:row>46</xdr:row>
                    <xdr:rowOff>28575</xdr:rowOff>
                  </from>
                  <to>
                    <xdr:col>3</xdr:col>
                    <xdr:colOff>142875</xdr:colOff>
                    <xdr:row>46</xdr:row>
                    <xdr:rowOff>180975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18</xdr:col>
                    <xdr:colOff>219075</xdr:colOff>
                    <xdr:row>95</xdr:row>
                    <xdr:rowOff>180975</xdr:rowOff>
                  </from>
                  <to>
                    <xdr:col>19</xdr:col>
                    <xdr:colOff>190500</xdr:colOff>
                    <xdr:row>97</xdr:row>
                    <xdr:rowOff>28575</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1</xdr:col>
                    <xdr:colOff>38100</xdr:colOff>
                    <xdr:row>180</xdr:row>
                    <xdr:rowOff>47625</xdr:rowOff>
                  </from>
                  <to>
                    <xdr:col>2</xdr:col>
                    <xdr:colOff>66675</xdr:colOff>
                    <xdr:row>180</xdr:row>
                    <xdr:rowOff>190500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xdr:col>
                    <xdr:colOff>38100</xdr:colOff>
                    <xdr:row>177</xdr:row>
                    <xdr:rowOff>57150</xdr:rowOff>
                  </from>
                  <to>
                    <xdr:col>2</xdr:col>
                    <xdr:colOff>66675</xdr:colOff>
                    <xdr:row>178</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xdr:col>
                    <xdr:colOff>114300</xdr:colOff>
                    <xdr:row>18</xdr:row>
                    <xdr:rowOff>66675</xdr:rowOff>
                  </from>
                  <to>
                    <xdr:col>2</xdr:col>
                    <xdr:colOff>142875</xdr:colOff>
                    <xdr:row>18</xdr:row>
                    <xdr:rowOff>190500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2</xdr:col>
                    <xdr:colOff>142875</xdr:colOff>
                    <xdr:row>57</xdr:row>
                    <xdr:rowOff>66675</xdr:rowOff>
                  </from>
                  <to>
                    <xdr:col>3</xdr:col>
                    <xdr:colOff>152400</xdr:colOff>
                    <xdr:row>59</xdr:row>
                    <xdr:rowOff>28575</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142875</xdr:colOff>
                    <xdr:row>62</xdr:row>
                    <xdr:rowOff>38100</xdr:rowOff>
                  </from>
                  <to>
                    <xdr:col>3</xdr:col>
                    <xdr:colOff>152400</xdr:colOff>
                    <xdr:row>64</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2</xdr:col>
                    <xdr:colOff>104775</xdr:colOff>
                    <xdr:row>29</xdr:row>
                    <xdr:rowOff>66675</xdr:rowOff>
                  </from>
                  <to>
                    <xdr:col>3</xdr:col>
                    <xdr:colOff>142875</xdr:colOff>
                    <xdr:row>31</xdr:row>
                    <xdr:rowOff>28575</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1</xdr:col>
                    <xdr:colOff>38100</xdr:colOff>
                    <xdr:row>186</xdr:row>
                    <xdr:rowOff>9525</xdr:rowOff>
                  </from>
                  <to>
                    <xdr:col>2</xdr:col>
                    <xdr:colOff>66675</xdr:colOff>
                    <xdr:row>186</xdr:row>
                    <xdr:rowOff>152400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from>
                    <xdr:col>1</xdr:col>
                    <xdr:colOff>38100</xdr:colOff>
                    <xdr:row>178</xdr:row>
                    <xdr:rowOff>47625</xdr:rowOff>
                  </from>
                  <to>
                    <xdr:col>2</xdr:col>
                    <xdr:colOff>66675</xdr:colOff>
                    <xdr:row>178</xdr:row>
                    <xdr:rowOff>190500</xdr:rowOff>
                  </to>
                </anchor>
              </controlPr>
            </control>
          </mc:Choice>
        </mc:AlternateContent>
        <mc:AlternateContent xmlns:mc="http://schemas.openxmlformats.org/markup-compatibility/2006">
          <mc:Choice Requires="x14">
            <control shapeId="28690" r:id="rId20" name="Option Button 18">
              <controlPr defaultSize="0" autoFill="0" autoLine="0" autoPict="0">
                <anchor moveWithCells="1">
                  <from>
                    <xdr:col>13</xdr:col>
                    <xdr:colOff>190500</xdr:colOff>
                    <xdr:row>11</xdr:row>
                    <xdr:rowOff>28575</xdr:rowOff>
                  </from>
                  <to>
                    <xdr:col>15</xdr:col>
                    <xdr:colOff>142875</xdr:colOff>
                    <xdr:row>11</xdr:row>
                    <xdr:rowOff>180975</xdr:rowOff>
                  </to>
                </anchor>
              </controlPr>
            </control>
          </mc:Choice>
        </mc:AlternateContent>
        <mc:AlternateContent xmlns:mc="http://schemas.openxmlformats.org/markup-compatibility/2006">
          <mc:Choice Requires="x14">
            <control shapeId="28691" r:id="rId21" name="Option Button 19">
              <controlPr defaultSize="0" autoFill="0" autoLine="0" autoPict="0">
                <anchor moveWithCells="1">
                  <from>
                    <xdr:col>17</xdr:col>
                    <xdr:colOff>66675</xdr:colOff>
                    <xdr:row>11</xdr:row>
                    <xdr:rowOff>28575</xdr:rowOff>
                  </from>
                  <to>
                    <xdr:col>19</xdr:col>
                    <xdr:colOff>190500</xdr:colOff>
                    <xdr:row>11</xdr:row>
                    <xdr:rowOff>180975</xdr:rowOff>
                  </to>
                </anchor>
              </controlPr>
            </control>
          </mc:Choice>
        </mc:AlternateContent>
        <mc:AlternateContent xmlns:mc="http://schemas.openxmlformats.org/markup-compatibility/2006">
          <mc:Choice Requires="x14">
            <control shapeId="28692" r:id="rId22" name="Option Button 20">
              <controlPr defaultSize="0" autoFill="0" autoLine="0" autoPict="0">
                <anchor moveWithCells="1">
                  <from>
                    <xdr:col>18</xdr:col>
                    <xdr:colOff>28575</xdr:colOff>
                    <xdr:row>21</xdr:row>
                    <xdr:rowOff>0</xdr:rowOff>
                  </from>
                  <to>
                    <xdr:col>25</xdr:col>
                    <xdr:colOff>180975</xdr:colOff>
                    <xdr:row>22</xdr:row>
                    <xdr:rowOff>0</xdr:rowOff>
                  </to>
                </anchor>
              </controlPr>
            </control>
          </mc:Choice>
        </mc:AlternateContent>
        <mc:AlternateContent xmlns:mc="http://schemas.openxmlformats.org/markup-compatibility/2006">
          <mc:Choice Requires="x14">
            <control shapeId="28693" r:id="rId23" name="Option Button 21">
              <controlPr defaultSize="0" autoFill="0" autoLine="0" autoPict="0">
                <anchor moveWithCells="1">
                  <from>
                    <xdr:col>26</xdr:col>
                    <xdr:colOff>180975</xdr:colOff>
                    <xdr:row>20</xdr:row>
                    <xdr:rowOff>219075</xdr:rowOff>
                  </from>
                  <to>
                    <xdr:col>28</xdr:col>
                    <xdr:colOff>219075</xdr:colOff>
                    <xdr:row>22</xdr:row>
                    <xdr:rowOff>0</xdr:rowOff>
                  </to>
                </anchor>
              </controlPr>
            </control>
          </mc:Choice>
        </mc:AlternateContent>
        <mc:AlternateContent xmlns:mc="http://schemas.openxmlformats.org/markup-compatibility/2006">
          <mc:Choice Requires="x14">
            <control shapeId="28694" r:id="rId24" name="Option Button 22">
              <controlPr defaultSize="0" autoFill="0" autoLine="0" autoPict="0">
                <anchor moveWithCells="1">
                  <from>
                    <xdr:col>1</xdr:col>
                    <xdr:colOff>66675</xdr:colOff>
                    <xdr:row>73</xdr:row>
                    <xdr:rowOff>180975</xdr:rowOff>
                  </from>
                  <to>
                    <xdr:col>2</xdr:col>
                    <xdr:colOff>104775</xdr:colOff>
                    <xdr:row>75</xdr:row>
                    <xdr:rowOff>66675</xdr:rowOff>
                  </to>
                </anchor>
              </controlPr>
            </control>
          </mc:Choice>
        </mc:AlternateContent>
        <mc:AlternateContent xmlns:mc="http://schemas.openxmlformats.org/markup-compatibility/2006">
          <mc:Choice Requires="x14">
            <control shapeId="28695" r:id="rId25" name="Option Button 23">
              <controlPr defaultSize="0" autoFill="0" autoLine="0" autoPict="0">
                <anchor moveWithCells="1">
                  <from>
                    <xdr:col>1</xdr:col>
                    <xdr:colOff>66675</xdr:colOff>
                    <xdr:row>75</xdr:row>
                    <xdr:rowOff>219075</xdr:rowOff>
                  </from>
                  <to>
                    <xdr:col>2</xdr:col>
                    <xdr:colOff>104775</xdr:colOff>
                    <xdr:row>77</xdr:row>
                    <xdr:rowOff>28575</xdr:rowOff>
                  </to>
                </anchor>
              </controlPr>
            </control>
          </mc:Choice>
        </mc:AlternateContent>
        <mc:AlternateContent xmlns:mc="http://schemas.openxmlformats.org/markup-compatibility/2006">
          <mc:Choice Requires="x14">
            <control shapeId="28696" r:id="rId26" name="Option Button 24">
              <controlPr defaultSize="0" autoFill="0" autoLine="0" autoPict="0">
                <anchor moveWithCells="1">
                  <from>
                    <xdr:col>1</xdr:col>
                    <xdr:colOff>66675</xdr:colOff>
                    <xdr:row>76</xdr:row>
                    <xdr:rowOff>219075</xdr:rowOff>
                  </from>
                  <to>
                    <xdr:col>2</xdr:col>
                    <xdr:colOff>104775</xdr:colOff>
                    <xdr:row>78</xdr:row>
                    <xdr:rowOff>28575</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from>
                    <xdr:col>1</xdr:col>
                    <xdr:colOff>38100</xdr:colOff>
                    <xdr:row>189</xdr:row>
                    <xdr:rowOff>9525</xdr:rowOff>
                  </from>
                  <to>
                    <xdr:col>2</xdr:col>
                    <xdr:colOff>66675</xdr:colOff>
                    <xdr:row>189</xdr:row>
                    <xdr:rowOff>152400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from>
                    <xdr:col>1</xdr:col>
                    <xdr:colOff>38100</xdr:colOff>
                    <xdr:row>144</xdr:row>
                    <xdr:rowOff>28575</xdr:rowOff>
                  </from>
                  <to>
                    <xdr:col>2</xdr:col>
                    <xdr:colOff>66675</xdr:colOff>
                    <xdr:row>144</xdr:row>
                    <xdr:rowOff>152400</xdr:rowOff>
                  </to>
                </anchor>
              </controlPr>
            </control>
          </mc:Choice>
        </mc:AlternateContent>
        <mc:AlternateContent xmlns:mc="http://schemas.openxmlformats.org/markup-compatibility/2006">
          <mc:Choice Requires="x14">
            <control shapeId="28699" r:id="rId29" name="Group Box 27">
              <controlPr defaultSize="0" autoFill="0" autoPict="0">
                <anchor moveWithCells="1">
                  <from>
                    <xdr:col>12</xdr:col>
                    <xdr:colOff>504825</xdr:colOff>
                    <xdr:row>10</xdr:row>
                    <xdr:rowOff>76200</xdr:rowOff>
                  </from>
                  <to>
                    <xdr:col>21</xdr:col>
                    <xdr:colOff>9525</xdr:colOff>
                    <xdr:row>12</xdr:row>
                    <xdr:rowOff>28575</xdr:rowOff>
                  </to>
                </anchor>
              </controlPr>
            </control>
          </mc:Choice>
        </mc:AlternateContent>
        <mc:AlternateContent xmlns:mc="http://schemas.openxmlformats.org/markup-compatibility/2006">
          <mc:Choice Requires="x14">
            <control shapeId="28700" r:id="rId30" name="Option Button 28">
              <controlPr defaultSize="0" autoFill="0" autoLine="0" autoPict="0">
                <anchor moveWithCells="1">
                  <from>
                    <xdr:col>1</xdr:col>
                    <xdr:colOff>66675</xdr:colOff>
                    <xdr:row>74</xdr:row>
                    <xdr:rowOff>219075</xdr:rowOff>
                  </from>
                  <to>
                    <xdr:col>2</xdr:col>
                    <xdr:colOff>114300</xdr:colOff>
                    <xdr:row>76</xdr:row>
                    <xdr:rowOff>47625</xdr:rowOff>
                  </to>
                </anchor>
              </controlPr>
            </control>
          </mc:Choice>
        </mc:AlternateContent>
        <mc:AlternateContent xmlns:mc="http://schemas.openxmlformats.org/markup-compatibility/2006">
          <mc:Choice Requires="x14">
            <control shapeId="28701" r:id="rId31" name="Option Button 29">
              <controlPr defaultSize="0" autoFill="0" autoLine="0" autoPict="0">
                <anchor moveWithCells="1">
                  <from>
                    <xdr:col>1</xdr:col>
                    <xdr:colOff>66675</xdr:colOff>
                    <xdr:row>77</xdr:row>
                    <xdr:rowOff>228600</xdr:rowOff>
                  </from>
                  <to>
                    <xdr:col>2</xdr:col>
                    <xdr:colOff>104775</xdr:colOff>
                    <xdr:row>78</xdr:row>
                    <xdr:rowOff>228600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from>
                    <xdr:col>1</xdr:col>
                    <xdr:colOff>38100</xdr:colOff>
                    <xdr:row>185</xdr:row>
                    <xdr:rowOff>9525</xdr:rowOff>
                  </from>
                  <to>
                    <xdr:col>2</xdr:col>
                    <xdr:colOff>66675</xdr:colOff>
                    <xdr:row>185</xdr:row>
                    <xdr:rowOff>152400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from>
                    <xdr:col>1</xdr:col>
                    <xdr:colOff>38100</xdr:colOff>
                    <xdr:row>184</xdr:row>
                    <xdr:rowOff>19050</xdr:rowOff>
                  </from>
                  <to>
                    <xdr:col>2</xdr:col>
                    <xdr:colOff>66675</xdr:colOff>
                    <xdr:row>184</xdr:row>
                    <xdr:rowOff>161925</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from>
                    <xdr:col>1</xdr:col>
                    <xdr:colOff>38100</xdr:colOff>
                    <xdr:row>182</xdr:row>
                    <xdr:rowOff>38100</xdr:rowOff>
                  </from>
                  <to>
                    <xdr:col>2</xdr:col>
                    <xdr:colOff>66675</xdr:colOff>
                    <xdr:row>182</xdr:row>
                    <xdr:rowOff>180975</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from>
                    <xdr:col>1</xdr:col>
                    <xdr:colOff>38100</xdr:colOff>
                    <xdr:row>183</xdr:row>
                    <xdr:rowOff>9525</xdr:rowOff>
                  </from>
                  <to>
                    <xdr:col>2</xdr:col>
                    <xdr:colOff>66675</xdr:colOff>
                    <xdr:row>183</xdr:row>
                    <xdr:rowOff>152400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from>
                    <xdr:col>1</xdr:col>
                    <xdr:colOff>38100</xdr:colOff>
                    <xdr:row>188</xdr:row>
                    <xdr:rowOff>9525</xdr:rowOff>
                  </from>
                  <to>
                    <xdr:col>2</xdr:col>
                    <xdr:colOff>66675</xdr:colOff>
                    <xdr:row>188</xdr:row>
                    <xdr:rowOff>152400</xdr:rowOff>
                  </to>
                </anchor>
              </controlPr>
            </control>
          </mc:Choice>
        </mc:AlternateContent>
        <mc:AlternateContent xmlns:mc="http://schemas.openxmlformats.org/markup-compatibility/2006">
          <mc:Choice Requires="x14">
            <control shapeId="28707" r:id="rId37" name="Option Button 35">
              <controlPr defaultSize="0" autoFill="0" autoLine="0" autoPict="0">
                <anchor moveWithCells="1">
                  <from>
                    <xdr:col>1</xdr:col>
                    <xdr:colOff>66675</xdr:colOff>
                    <xdr:row>78</xdr:row>
                    <xdr:rowOff>228600</xdr:rowOff>
                  </from>
                  <to>
                    <xdr:col>2</xdr:col>
                    <xdr:colOff>142875</xdr:colOff>
                    <xdr:row>79</xdr:row>
                    <xdr:rowOff>219075</xdr:rowOff>
                  </to>
                </anchor>
              </controlPr>
            </control>
          </mc:Choice>
        </mc:AlternateContent>
        <mc:AlternateContent xmlns:mc="http://schemas.openxmlformats.org/markup-compatibility/2006">
          <mc:Choice Requires="x14">
            <control shapeId="28708" r:id="rId38" name="Group Box 36">
              <controlPr defaultSize="0" autoFill="0" autoPict="0">
                <anchor moveWithCells="1">
                  <from>
                    <xdr:col>1</xdr:col>
                    <xdr:colOff>9525</xdr:colOff>
                    <xdr:row>73</xdr:row>
                    <xdr:rowOff>161925</xdr:rowOff>
                  </from>
                  <to>
                    <xdr:col>3</xdr:col>
                    <xdr:colOff>0</xdr:colOff>
                    <xdr:row>80</xdr:row>
                    <xdr:rowOff>28575</xdr:rowOff>
                  </to>
                </anchor>
              </controlPr>
            </control>
          </mc:Choice>
        </mc:AlternateContent>
        <mc:AlternateContent xmlns:mc="http://schemas.openxmlformats.org/markup-compatibility/2006">
          <mc:Choice Requires="x14">
            <control shapeId="28709" r:id="rId39" name="Group Box 37">
              <controlPr defaultSize="0" autoFill="0" autoPict="0">
                <anchor moveWithCells="1">
                  <from>
                    <xdr:col>17</xdr:col>
                    <xdr:colOff>219075</xdr:colOff>
                    <xdr:row>20</xdr:row>
                    <xdr:rowOff>180975</xdr:rowOff>
                  </from>
                  <to>
                    <xdr:col>30</xdr:col>
                    <xdr:colOff>28575</xdr:colOff>
                    <xdr:row>22</xdr:row>
                    <xdr:rowOff>28575</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1</xdr:col>
                    <xdr:colOff>38100</xdr:colOff>
                    <xdr:row>181</xdr:row>
                    <xdr:rowOff>28575</xdr:rowOff>
                  </from>
                  <to>
                    <xdr:col>2</xdr:col>
                    <xdr:colOff>66675</xdr:colOff>
                    <xdr:row>181</xdr:row>
                    <xdr:rowOff>180975</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1</xdr:col>
                    <xdr:colOff>38100</xdr:colOff>
                    <xdr:row>190</xdr:row>
                    <xdr:rowOff>9525</xdr:rowOff>
                  </from>
                  <to>
                    <xdr:col>2</xdr:col>
                    <xdr:colOff>66675</xdr:colOff>
                    <xdr:row>190</xdr:row>
                    <xdr:rowOff>152400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1</xdr:col>
                    <xdr:colOff>38100</xdr:colOff>
                    <xdr:row>179</xdr:row>
                    <xdr:rowOff>38100</xdr:rowOff>
                  </from>
                  <to>
                    <xdr:col>2</xdr:col>
                    <xdr:colOff>66675</xdr:colOff>
                    <xdr:row>179</xdr:row>
                    <xdr:rowOff>180975</xdr:rowOff>
                  </to>
                </anchor>
              </controlPr>
            </control>
          </mc:Choice>
        </mc:AlternateContent>
        <mc:AlternateContent xmlns:mc="http://schemas.openxmlformats.org/markup-compatibility/2006">
          <mc:Choice Requires="x14">
            <control shapeId="28754" r:id="rId43" name="Check Box 82">
              <controlPr defaultSize="0" autoFill="0" autoLine="0" autoPict="0">
                <anchor moveWithCells="1">
                  <from>
                    <xdr:col>1</xdr:col>
                    <xdr:colOff>38100</xdr:colOff>
                    <xdr:row>187</xdr:row>
                    <xdr:rowOff>9525</xdr:rowOff>
                  </from>
                  <to>
                    <xdr:col>2</xdr:col>
                    <xdr:colOff>66675</xdr:colOff>
                    <xdr:row>187</xdr:row>
                    <xdr:rowOff>152400</xdr:rowOff>
                  </to>
                </anchor>
              </controlPr>
            </control>
          </mc:Choice>
        </mc:AlternateContent>
        <mc:AlternateContent xmlns:mc="http://schemas.openxmlformats.org/markup-compatibility/2006">
          <mc:Choice Requires="x14">
            <control shapeId="28761" r:id="rId44" name="Check Box 89">
              <controlPr defaultSize="0" autoFill="0" autoLine="0" autoPict="0">
                <anchor moveWithCells="1">
                  <from>
                    <xdr:col>1</xdr:col>
                    <xdr:colOff>9525</xdr:colOff>
                    <xdr:row>150</xdr:row>
                    <xdr:rowOff>38100</xdr:rowOff>
                  </from>
                  <to>
                    <xdr:col>2</xdr:col>
                    <xdr:colOff>38100</xdr:colOff>
                    <xdr:row>150</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FFC-E162-4C27-9334-AA4F537ECC46}">
  <sheetPr codeName="Feuil13">
    <pageSetUpPr fitToPage="1"/>
  </sheetPr>
  <dimension ref="A1:FXX204"/>
  <sheetViews>
    <sheetView topLeftCell="A32" zoomScale="115" zoomScaleNormal="115" workbookViewId="0">
      <selection activeCell="F7" sqref="F7:P7"/>
    </sheetView>
  </sheetViews>
  <sheetFormatPr baseColWidth="10" defaultColWidth="0" defaultRowHeight="0" customHeight="1" zeroHeight="1" x14ac:dyDescent="0.2"/>
  <cols>
    <col min="1" max="1" width="4.6640625" style="62" customWidth="1"/>
    <col min="2" max="2" width="3.33203125" style="15" customWidth="1"/>
    <col min="3" max="3" width="3.1640625" style="15" customWidth="1"/>
    <col min="4" max="4" width="5.83203125" style="15" customWidth="1"/>
    <col min="5" max="5" width="6.33203125" style="15" customWidth="1"/>
    <col min="6" max="29" width="5" style="15" customWidth="1"/>
    <col min="30" max="30" width="4.5" style="15" customWidth="1"/>
    <col min="31" max="31" width="10.33203125" style="15" customWidth="1"/>
    <col min="32" max="33" width="4.33203125" style="15" customWidth="1"/>
    <col min="34" max="34" width="3.33203125" style="15" customWidth="1"/>
    <col min="35" max="35" width="2.33203125" style="28" customWidth="1"/>
    <col min="36" max="38" width="14.33203125" style="209" hidden="1" customWidth="1"/>
    <col min="39" max="39" width="14.5" style="209" hidden="1" customWidth="1"/>
    <col min="40" max="40" width="17.1640625" style="209" hidden="1" customWidth="1"/>
    <col min="41" max="41" width="9.1640625" style="209" hidden="1" customWidth="1"/>
    <col min="42" max="42" width="11.83203125" style="209" hidden="1" customWidth="1"/>
    <col min="43" max="43" width="13.33203125" style="209" hidden="1" customWidth="1"/>
    <col min="44" max="44" width="15" style="209" hidden="1" customWidth="1"/>
    <col min="45" max="45" width="14.6640625" style="209" hidden="1" customWidth="1"/>
    <col min="46" max="46" width="11" style="209" hidden="1" customWidth="1"/>
    <col min="47" max="47" width="10.83203125" style="209" hidden="1" customWidth="1"/>
    <col min="48" max="48" width="13.83203125" style="209" hidden="1" customWidth="1"/>
    <col min="49" max="49" width="5.6640625" style="209" hidden="1" customWidth="1"/>
    <col min="50" max="51" width="28.1640625" style="209" hidden="1" customWidth="1"/>
    <col min="52" max="52" width="10" style="209" hidden="1" customWidth="1"/>
    <col min="53" max="53" width="7.1640625" style="209" hidden="1" customWidth="1"/>
    <col min="54" max="54" width="9.6640625" style="209" hidden="1" customWidth="1"/>
    <col min="55" max="55" width="13.1640625" style="209" hidden="1" customWidth="1"/>
    <col min="56" max="56" width="21.6640625" style="209" hidden="1" customWidth="1"/>
    <col min="57" max="57" width="6.1640625" style="209" hidden="1" customWidth="1"/>
    <col min="58" max="58" width="10.83203125" style="209" hidden="1" customWidth="1"/>
    <col min="59" max="59" width="11.5" style="209" hidden="1" customWidth="1"/>
    <col min="60" max="60" width="8.1640625" style="209" hidden="1" customWidth="1"/>
    <col min="61" max="1457" width="2.83203125" style="209" hidden="1" customWidth="1"/>
    <col min="1458" max="4702" width="15.83203125" style="209" hidden="1" customWidth="1"/>
    <col min="4703" max="4704" width="0.33203125" style="209" hidden="1" customWidth="1"/>
    <col min="4705" max="16384" width="15.83203125" style="209" hidden="1"/>
  </cols>
  <sheetData>
    <row r="1" spans="2:43"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52"/>
      <c r="AK1" s="52"/>
    </row>
    <row r="2" spans="2:43" ht="16.5" customHeight="1" x14ac:dyDescent="0.2">
      <c r="B2" s="620"/>
      <c r="C2" s="621"/>
      <c r="D2" s="621"/>
      <c r="E2" s="621"/>
      <c r="F2" s="622"/>
      <c r="G2" s="629" t="s">
        <v>412</v>
      </c>
      <c r="H2" s="630"/>
      <c r="I2" s="630"/>
      <c r="J2" s="630"/>
      <c r="K2" s="630"/>
      <c r="L2" s="630"/>
      <c r="M2" s="630"/>
      <c r="N2" s="630"/>
      <c r="O2" s="631"/>
      <c r="P2" s="638" t="s">
        <v>670</v>
      </c>
      <c r="Q2" s="639"/>
      <c r="R2" s="639"/>
      <c r="S2" s="639"/>
      <c r="T2" s="639"/>
      <c r="U2" s="639"/>
      <c r="V2" s="639"/>
      <c r="W2" s="639"/>
      <c r="X2" s="639"/>
      <c r="Y2" s="640"/>
      <c r="Z2" s="647" t="s">
        <v>671</v>
      </c>
      <c r="AA2" s="648"/>
      <c r="AB2" s="648"/>
      <c r="AC2" s="648"/>
      <c r="AD2" s="648"/>
      <c r="AE2" s="648"/>
      <c r="AF2" s="648"/>
      <c r="AG2" s="648"/>
      <c r="AH2" s="649"/>
    </row>
    <row r="3" spans="2:43"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row>
    <row r="4" spans="2:43"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row>
    <row r="5" spans="2:43"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row>
    <row r="6" spans="2:43"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row>
    <row r="7" spans="2:43" ht="16.350000000000001" customHeight="1" x14ac:dyDescent="0.2">
      <c r="B7" s="558" t="s">
        <v>413</v>
      </c>
      <c r="C7" s="558"/>
      <c r="D7" s="558"/>
      <c r="E7" s="656"/>
      <c r="F7" s="726">
        <f>Formular_De!F7</f>
        <v>0</v>
      </c>
      <c r="G7" s="727"/>
      <c r="H7" s="727"/>
      <c r="I7" s="727"/>
      <c r="J7" s="727"/>
      <c r="K7" s="727"/>
      <c r="L7" s="727"/>
      <c r="M7" s="727"/>
      <c r="N7" s="727"/>
      <c r="O7" s="727"/>
      <c r="P7" s="728"/>
      <c r="Q7" s="657" t="s">
        <v>414</v>
      </c>
      <c r="R7" s="493"/>
      <c r="S7" s="493"/>
      <c r="T7" s="658"/>
      <c r="U7" s="760">
        <f>Formular_De!U7</f>
        <v>0</v>
      </c>
      <c r="V7" s="727"/>
      <c r="W7" s="727"/>
      <c r="X7" s="727"/>
      <c r="Y7" s="727"/>
      <c r="Z7" s="728"/>
      <c r="AA7" s="28"/>
      <c r="AB7" s="28"/>
      <c r="AC7" s="19"/>
      <c r="AD7" s="43" t="s">
        <v>111</v>
      </c>
      <c r="AE7" s="760">
        <f>Formular_De!AE7</f>
        <v>0</v>
      </c>
      <c r="AF7" s="727"/>
      <c r="AG7" s="727"/>
      <c r="AH7" s="728"/>
    </row>
    <row r="8" spans="2:43"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row>
    <row r="9" spans="2:43" ht="16.5" customHeight="1" x14ac:dyDescent="0.2">
      <c r="B9" s="558" t="s">
        <v>415</v>
      </c>
      <c r="C9" s="558"/>
      <c r="D9" s="558"/>
      <c r="E9" s="28"/>
      <c r="F9" s="726">
        <f>Formular_De!F9</f>
        <v>0</v>
      </c>
      <c r="G9" s="727"/>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8"/>
    </row>
    <row r="10" spans="2:43"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43" ht="12.75"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43" ht="15" x14ac:dyDescent="0.2">
      <c r="B12" s="199" t="s">
        <v>694</v>
      </c>
      <c r="C12" s="28"/>
      <c r="D12" s="28"/>
      <c r="E12" s="28"/>
      <c r="F12" s="28"/>
      <c r="G12" s="28"/>
      <c r="H12" s="28"/>
      <c r="I12" s="28"/>
      <c r="J12" s="28"/>
      <c r="K12" s="28"/>
      <c r="L12" s="28"/>
      <c r="M12" s="28"/>
      <c r="N12" s="28"/>
      <c r="O12" s="28"/>
      <c r="P12" s="28"/>
      <c r="R12" s="28"/>
      <c r="S12" s="28"/>
      <c r="T12" s="28"/>
      <c r="U12" s="28"/>
      <c r="V12" s="28"/>
      <c r="W12" s="28"/>
      <c r="X12" s="28"/>
      <c r="Y12" s="28"/>
      <c r="Z12" s="28"/>
      <c r="AA12" s="28"/>
      <c r="AB12" s="28"/>
      <c r="AE12" s="28"/>
      <c r="AF12" s="28"/>
      <c r="AG12" s="28"/>
      <c r="AH12" s="28"/>
    </row>
    <row r="13" spans="2:43" ht="12.75" x14ac:dyDescent="0.2">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52"/>
      <c r="AF13" s="28"/>
      <c r="AG13" s="28"/>
      <c r="AH13" s="28"/>
    </row>
    <row r="14" spans="2:43" ht="15" x14ac:dyDescent="0.2">
      <c r="B14" s="77"/>
      <c r="C14" s="77"/>
      <c r="D14" s="77"/>
      <c r="E14" s="77"/>
      <c r="F14" s="77"/>
      <c r="G14" s="77"/>
      <c r="H14" s="77"/>
      <c r="I14" s="77"/>
      <c r="J14" s="245"/>
      <c r="K14" s="77"/>
      <c r="L14" s="245"/>
      <c r="M14" s="28"/>
      <c r="N14" s="245"/>
      <c r="O14" s="28"/>
      <c r="P14" s="28"/>
      <c r="Q14" s="28"/>
      <c r="R14" s="28"/>
      <c r="S14" s="30"/>
      <c r="T14" s="30"/>
      <c r="U14" s="268" t="s">
        <v>680</v>
      </c>
      <c r="V14" s="271"/>
      <c r="W14" s="743" t="str">
        <f>IF(Formular_De!O132&lt;&gt;0,Formular_De!O132,"")</f>
        <v/>
      </c>
      <c r="X14" s="743"/>
      <c r="Y14" s="406" t="s">
        <v>465</v>
      </c>
      <c r="Z14" s="77"/>
      <c r="AA14" s="745"/>
      <c r="AB14" s="745"/>
      <c r="AC14" s="406" t="s">
        <v>465</v>
      </c>
      <c r="AD14" s="28"/>
      <c r="AE14" s="28"/>
      <c r="AF14" s="28"/>
      <c r="AG14" s="28"/>
      <c r="AH14" s="28"/>
    </row>
    <row r="15" spans="2:43" ht="15" x14ac:dyDescent="0.2">
      <c r="B15" s="77"/>
      <c r="C15" s="77"/>
      <c r="D15" s="77"/>
      <c r="E15" s="77"/>
      <c r="F15" s="77"/>
      <c r="G15" s="77"/>
      <c r="H15" s="77"/>
      <c r="I15" s="77"/>
      <c r="J15" s="245"/>
      <c r="K15" s="77"/>
      <c r="L15" s="245"/>
      <c r="M15" s="253"/>
      <c r="N15" s="245"/>
      <c r="O15" s="251"/>
      <c r="P15" s="251"/>
      <c r="Q15" s="251"/>
      <c r="R15" s="251"/>
      <c r="S15" s="30"/>
      <c r="T15" s="30"/>
      <c r="U15" s="245"/>
      <c r="V15" s="30"/>
      <c r="W15" s="77"/>
      <c r="X15" s="253"/>
      <c r="Y15" s="253"/>
      <c r="Z15" s="77"/>
      <c r="AA15" s="28"/>
      <c r="AB15" s="28"/>
      <c r="AC15" s="28"/>
      <c r="AD15" s="28"/>
      <c r="AE15" s="28"/>
      <c r="AF15" s="28"/>
      <c r="AG15" s="28"/>
      <c r="AH15" s="28"/>
    </row>
    <row r="16" spans="2:43" ht="15" x14ac:dyDescent="0.2">
      <c r="B16" s="199"/>
      <c r="C16" s="77" t="s">
        <v>448</v>
      </c>
      <c r="D16" s="77"/>
      <c r="E16" s="90"/>
      <c r="F16" s="489" t="s">
        <v>449</v>
      </c>
      <c r="G16" s="489"/>
      <c r="H16" s="489" t="s">
        <v>450</v>
      </c>
      <c r="I16" s="489"/>
      <c r="J16" s="489" t="s">
        <v>451</v>
      </c>
      <c r="K16" s="489"/>
      <c r="L16" s="489" t="s">
        <v>452</v>
      </c>
      <c r="M16" s="489"/>
      <c r="N16" s="489" t="s">
        <v>679</v>
      </c>
      <c r="O16" s="489"/>
      <c r="P16" s="489" t="s">
        <v>454</v>
      </c>
      <c r="Q16" s="489"/>
      <c r="R16" s="489" t="s">
        <v>455</v>
      </c>
      <c r="S16" s="489"/>
      <c r="T16" s="489" t="s">
        <v>456</v>
      </c>
      <c r="U16" s="489"/>
      <c r="V16" s="489" t="s">
        <v>457</v>
      </c>
      <c r="W16" s="489"/>
      <c r="X16" s="489" t="s">
        <v>458</v>
      </c>
      <c r="Y16" s="489"/>
      <c r="Z16" s="489" t="s">
        <v>459</v>
      </c>
      <c r="AA16" s="489"/>
      <c r="AB16" s="489" t="s">
        <v>460</v>
      </c>
      <c r="AC16" s="489"/>
      <c r="AD16" s="489" t="s">
        <v>461</v>
      </c>
      <c r="AE16" s="489"/>
      <c r="AF16" s="28"/>
      <c r="AG16" s="28"/>
      <c r="AH16" s="28"/>
      <c r="AL16" s="407" t="s">
        <v>652</v>
      </c>
      <c r="AM16" s="408"/>
      <c r="AN16" s="408"/>
      <c r="AO16" s="408"/>
      <c r="AP16" s="408"/>
      <c r="AQ16" s="409"/>
    </row>
    <row r="17" spans="2:49" ht="15" x14ac:dyDescent="0.2">
      <c r="B17" s="199"/>
      <c r="C17" s="28"/>
      <c r="D17" s="28"/>
      <c r="E17" s="28"/>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89">
        <f>SUM(F17:AC17)</f>
        <v>0</v>
      </c>
      <c r="AE17" s="489"/>
      <c r="AF17" s="497" t="s">
        <v>45</v>
      </c>
      <c r="AG17" s="497"/>
      <c r="AH17" s="497"/>
      <c r="AL17" s="410"/>
      <c r="AQ17" s="411"/>
    </row>
    <row r="18" spans="2:49" ht="15" x14ac:dyDescent="0.2">
      <c r="B18" s="199"/>
      <c r="C18" s="28"/>
      <c r="D18" s="28"/>
      <c r="E18" s="28"/>
      <c r="F18" s="746" t="str">
        <f>IF(Formular_De!$O$132&lt;&gt;0,Formular_De!F$135,"")</f>
        <v/>
      </c>
      <c r="G18" s="746"/>
      <c r="H18" s="746" t="str">
        <f>IF(Formular_De!$O$132&lt;&gt;0,Formular_De!H$135,"")</f>
        <v/>
      </c>
      <c r="I18" s="746"/>
      <c r="J18" s="746" t="str">
        <f>IF(Formular_De!$O$132&lt;&gt;0,Formular_De!J$135,"")</f>
        <v/>
      </c>
      <c r="K18" s="746"/>
      <c r="L18" s="746" t="str">
        <f>IF(Formular_De!$O$132&lt;&gt;0,Formular_De!L$135,"")</f>
        <v/>
      </c>
      <c r="M18" s="746"/>
      <c r="N18" s="746" t="str">
        <f>IF(Formular_De!$O$132&lt;&gt;0,Formular_De!N$135,"")</f>
        <v/>
      </c>
      <c r="O18" s="746"/>
      <c r="P18" s="746" t="str">
        <f>IF(Formular_De!$O$132&lt;&gt;0,Formular_De!P$135,"")</f>
        <v/>
      </c>
      <c r="Q18" s="746"/>
      <c r="R18" s="746" t="str">
        <f>IF(Formular_De!$O$132&lt;&gt;0,Formular_De!R$135,"")</f>
        <v/>
      </c>
      <c r="S18" s="746"/>
      <c r="T18" s="746" t="str">
        <f>IF(Formular_De!$O$132&lt;&gt;0,Formular_De!T$135,"")</f>
        <v/>
      </c>
      <c r="U18" s="746"/>
      <c r="V18" s="746" t="str">
        <f>IF(Formular_De!$O$132&lt;&gt;0,Formular_De!V$135,"")</f>
        <v/>
      </c>
      <c r="W18" s="746"/>
      <c r="X18" s="746" t="str">
        <f>IF(Formular_De!$O$132&lt;&gt;0,Formular_De!X$135,"")</f>
        <v/>
      </c>
      <c r="Y18" s="746"/>
      <c r="Z18" s="746" t="str">
        <f>IF(Formular_De!$O$132&lt;&gt;0,Formular_De!Z$135,"")</f>
        <v/>
      </c>
      <c r="AA18" s="746"/>
      <c r="AB18" s="746" t="str">
        <f>IF(Formular_De!$O$132&lt;&gt;0,Formular_De!AB$135,"")</f>
        <v/>
      </c>
      <c r="AC18" s="746"/>
      <c r="AD18" s="742">
        <f>SUM(F18:AC18)</f>
        <v>0</v>
      </c>
      <c r="AE18" s="742"/>
      <c r="AF18" s="497" t="s">
        <v>45</v>
      </c>
      <c r="AG18" s="497"/>
      <c r="AH18" s="497"/>
      <c r="AL18" s="410"/>
      <c r="AM18" s="209" t="s">
        <v>201</v>
      </c>
      <c r="AN18" s="412">
        <f>IF(AD17&lt;&gt;0,SUM(X17:AC17,F17:M17),SUM(F18:M18,X18:AC18))</f>
        <v>0</v>
      </c>
      <c r="AO18" s="209" t="s">
        <v>45</v>
      </c>
      <c r="AP18" s="412" t="e">
        <f>IF(AD17&lt;&gt;0,AN18/AA14,AN18/W14)</f>
        <v>#VALUE!</v>
      </c>
      <c r="AQ18" s="411" t="s">
        <v>211</v>
      </c>
      <c r="AR18" s="209" t="s">
        <v>212</v>
      </c>
      <c r="AS18" s="209" t="s">
        <v>192</v>
      </c>
    </row>
    <row r="19" spans="2:49" ht="15" x14ac:dyDescent="0.2">
      <c r="B19" s="256"/>
      <c r="C19" s="28"/>
      <c r="D19" s="28"/>
      <c r="E19" s="28"/>
      <c r="F19" s="189" t="s">
        <v>677</v>
      </c>
      <c r="G19" s="28"/>
      <c r="H19" s="28"/>
      <c r="I19" s="28"/>
      <c r="J19" s="28"/>
      <c r="K19" s="28"/>
      <c r="L19" s="28"/>
      <c r="M19" s="28"/>
      <c r="N19" s="28"/>
      <c r="O19" s="28"/>
      <c r="P19" s="28"/>
      <c r="Q19" s="28"/>
      <c r="R19" s="28"/>
      <c r="S19" s="28"/>
      <c r="T19" s="28"/>
      <c r="U19" s="28"/>
      <c r="V19" s="28"/>
      <c r="W19" s="28"/>
      <c r="X19" s="28"/>
      <c r="Y19" s="28"/>
      <c r="Z19" s="28"/>
      <c r="AA19" s="28"/>
      <c r="AB19" s="28"/>
      <c r="AC19" s="28"/>
      <c r="AD19" s="744" t="str">
        <f>IFERROR(IF(AD18&lt;&gt;0,AD18/W14,AD17/AA14),"")</f>
        <v/>
      </c>
      <c r="AE19" s="744"/>
      <c r="AF19" s="685" t="s">
        <v>467</v>
      </c>
      <c r="AG19" s="685"/>
      <c r="AH19" s="685"/>
      <c r="AL19" s="410"/>
      <c r="AM19" s="209" t="s">
        <v>201</v>
      </c>
      <c r="AN19" s="412">
        <f>IF(AD17&lt;&gt;0,SUM(V17:AC17,F17:O17),SUM(F18:O18,V18:AC18))</f>
        <v>0</v>
      </c>
      <c r="AO19" s="209" t="s">
        <v>45</v>
      </c>
      <c r="AP19" s="412" t="e">
        <f>IF(AD17&lt;&gt;0,AN19/AA14,AN19/W14)</f>
        <v>#VALUE!</v>
      </c>
      <c r="AQ19" s="411" t="s">
        <v>211</v>
      </c>
      <c r="AR19" s="209" t="s">
        <v>213</v>
      </c>
      <c r="AS19" s="209" t="s">
        <v>193</v>
      </c>
    </row>
    <row r="20" spans="2:49" ht="13.5" thickBot="1" x14ac:dyDescent="0.2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L20" s="410"/>
      <c r="AM20" s="209" t="s">
        <v>47</v>
      </c>
      <c r="AN20" s="412">
        <f>IF(AD17&lt;&gt;0,SUM(L17:W17),SUM(L18:W18))</f>
        <v>0</v>
      </c>
      <c r="AO20" s="209" t="s">
        <v>45</v>
      </c>
      <c r="AP20" s="412" t="e">
        <f>IF(AD17&lt;&gt;0,AN20/AA14,AN20/W14)</f>
        <v>#VALUE!</v>
      </c>
      <c r="AQ20" s="411" t="s">
        <v>211</v>
      </c>
      <c r="AR20" s="209" t="s">
        <v>214</v>
      </c>
    </row>
    <row r="21" spans="2:49" ht="12.75" x14ac:dyDescent="0.2">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L21" s="410"/>
      <c r="AM21" s="209" t="s">
        <v>219</v>
      </c>
      <c r="AN21" s="412">
        <f>IF(AD17&lt;&gt;0,SUM(Z17:AC17,F17:I17),SUM(F18:I18,Z18:AC18))</f>
        <v>0</v>
      </c>
      <c r="AO21" s="209" t="s">
        <v>45</v>
      </c>
      <c r="AP21" s="412" t="e">
        <f>IF(AD17&lt;&gt;0,AN21/AA14,AN21/W14)</f>
        <v>#VALUE!</v>
      </c>
      <c r="AQ21" s="411" t="s">
        <v>211</v>
      </c>
      <c r="AR21" s="209" t="s">
        <v>215</v>
      </c>
    </row>
    <row r="22" spans="2:49" ht="15" x14ac:dyDescent="0.2">
      <c r="B22" s="413" t="s">
        <v>681</v>
      </c>
      <c r="C22" s="28"/>
      <c r="D22" s="28"/>
      <c r="E22" s="28"/>
      <c r="F22" s="28"/>
      <c r="G22" s="28"/>
      <c r="H22" s="28"/>
      <c r="I22" s="28"/>
      <c r="J22" s="28"/>
      <c r="K22" s="28"/>
      <c r="L22" s="28"/>
      <c r="M22" s="28"/>
      <c r="N22" s="28"/>
      <c r="O22" s="28"/>
      <c r="P22" s="28"/>
      <c r="Q22" s="28"/>
      <c r="R22" s="28"/>
      <c r="S22" s="28"/>
      <c r="T22" s="28"/>
      <c r="U22" s="28"/>
      <c r="W22" s="28"/>
      <c r="X22" s="28"/>
      <c r="Z22" s="28"/>
      <c r="AA22" s="28"/>
      <c r="AB22" s="28"/>
      <c r="AC22" s="28"/>
      <c r="AD22" s="28"/>
      <c r="AE22" s="28"/>
      <c r="AF22" s="28"/>
      <c r="AG22" s="28"/>
      <c r="AH22" s="28"/>
      <c r="AL22" s="414"/>
      <c r="AM22" s="415"/>
      <c r="AN22" s="415"/>
      <c r="AO22" s="415"/>
      <c r="AP22" s="416" t="str">
        <f>AD19</f>
        <v/>
      </c>
      <c r="AQ22" s="417" t="s">
        <v>211</v>
      </c>
      <c r="AR22" s="209" t="s">
        <v>667</v>
      </c>
    </row>
    <row r="23" spans="2:49" ht="12.75" x14ac:dyDescent="0.2">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N23" s="418" t="s">
        <v>222</v>
      </c>
      <c r="AO23" s="418"/>
      <c r="AP23" s="418"/>
      <c r="AQ23" s="418"/>
      <c r="AR23" s="418"/>
    </row>
    <row r="24" spans="2:49" ht="12.75" x14ac:dyDescent="0.2">
      <c r="B24" s="28" t="s">
        <v>682</v>
      </c>
      <c r="C24" s="28"/>
      <c r="D24" s="28"/>
      <c r="E24" s="28"/>
      <c r="F24" s="28"/>
      <c r="G24" s="28"/>
      <c r="H24" s="28"/>
      <c r="I24" s="28"/>
      <c r="J24" s="28"/>
      <c r="K24" s="28"/>
      <c r="L24" s="28"/>
      <c r="M24" s="28"/>
      <c r="N24" s="28"/>
      <c r="O24" s="28"/>
      <c r="P24" s="28"/>
      <c r="Q24" s="28"/>
      <c r="R24" s="28"/>
      <c r="S24" s="28"/>
      <c r="T24" s="28"/>
      <c r="U24" s="189" t="s">
        <v>678</v>
      </c>
      <c r="V24" s="28"/>
      <c r="W24" s="28"/>
      <c r="X24" s="28"/>
      <c r="Y24" s="28"/>
      <c r="Z24" s="28"/>
      <c r="AA24" s="28"/>
      <c r="AB24" s="28"/>
      <c r="AC24" s="28"/>
      <c r="AD24" s="28"/>
      <c r="AE24" s="28"/>
      <c r="AF24" s="28"/>
      <c r="AG24" s="28"/>
      <c r="AH24" s="28"/>
    </row>
    <row r="25" spans="2:49" ht="12.75" x14ac:dyDescent="0.2">
      <c r="B25" s="28"/>
      <c r="C25" s="28"/>
      <c r="D25" s="28"/>
      <c r="E25" s="28"/>
      <c r="F25" s="28"/>
      <c r="G25" s="28"/>
      <c r="H25" s="28"/>
      <c r="I25" s="28"/>
      <c r="J25" s="28"/>
      <c r="K25" s="28"/>
      <c r="L25" s="28"/>
      <c r="M25" s="28"/>
      <c r="N25" s="419"/>
      <c r="O25" s="28"/>
      <c r="P25" s="28"/>
      <c r="Q25" s="28"/>
      <c r="R25" s="28"/>
      <c r="S25" s="28"/>
      <c r="T25" s="28"/>
      <c r="U25" s="28"/>
      <c r="V25" s="28"/>
      <c r="W25" s="28"/>
      <c r="X25" s="28"/>
      <c r="Y25" s="28"/>
      <c r="Z25" s="28"/>
      <c r="AA25" s="28"/>
      <c r="AB25" s="28"/>
      <c r="AC25" s="28"/>
      <c r="AD25" s="28"/>
      <c r="AE25" s="28"/>
      <c r="AF25" s="28"/>
      <c r="AG25" s="28"/>
      <c r="AH25" s="28"/>
      <c r="AN25" s="257" t="s">
        <v>195</v>
      </c>
      <c r="AO25" s="420">
        <f>Formular_De!AN158</f>
        <v>0</v>
      </c>
      <c r="AP25" s="209" t="s">
        <v>82</v>
      </c>
      <c r="AQ25" s="421">
        <f>AO25</f>
        <v>0</v>
      </c>
      <c r="AR25" s="209" t="s">
        <v>82</v>
      </c>
      <c r="AU25" s="712">
        <f>SUM(AQ25:AQ27)</f>
        <v>0</v>
      </c>
      <c r="AV25" s="714" t="s">
        <v>256</v>
      </c>
    </row>
    <row r="26" spans="2:49" ht="12.75" x14ac:dyDescent="0.2">
      <c r="B26" s="28" t="s">
        <v>683</v>
      </c>
      <c r="C26" s="28"/>
      <c r="D26" s="28"/>
      <c r="E26" s="28"/>
      <c r="F26" s="28"/>
      <c r="G26" s="28"/>
      <c r="H26" s="28"/>
      <c r="I26" s="28"/>
      <c r="J26" s="28"/>
      <c r="K26" s="28"/>
      <c r="L26" s="28"/>
      <c r="M26" s="28"/>
      <c r="N26" s="245" t="s">
        <v>684</v>
      </c>
      <c r="O26" s="677"/>
      <c r="P26" s="677"/>
      <c r="Q26" s="677"/>
      <c r="R26" s="677"/>
      <c r="S26" s="677"/>
      <c r="T26" s="677"/>
      <c r="U26" s="677"/>
      <c r="V26" s="677"/>
      <c r="W26" s="677"/>
      <c r="X26" s="677"/>
      <c r="Y26" s="677"/>
      <c r="Z26" s="677"/>
      <c r="AA26" s="677"/>
      <c r="AB26" s="677"/>
      <c r="AC26" s="677"/>
      <c r="AD26" s="677"/>
      <c r="AE26" s="677"/>
      <c r="AF26" s="677"/>
      <c r="AG26" s="28"/>
      <c r="AH26" s="28"/>
      <c r="AN26" s="257" t="s">
        <v>194</v>
      </c>
      <c r="AO26" s="420">
        <f>Formular_De!AN159</f>
        <v>0</v>
      </c>
      <c r="AP26" s="209" t="s">
        <v>82</v>
      </c>
      <c r="AQ26" s="421">
        <f>AO26</f>
        <v>0</v>
      </c>
      <c r="AR26" s="209" t="s">
        <v>82</v>
      </c>
      <c r="AU26" s="713"/>
      <c r="AV26" s="714"/>
    </row>
    <row r="27" spans="2:49" ht="12.75" x14ac:dyDescent="0.2">
      <c r="B27" s="28"/>
      <c r="C27" s="28"/>
      <c r="D27" s="28"/>
      <c r="E27" s="28"/>
      <c r="F27" s="28"/>
      <c r="G27" s="28"/>
      <c r="H27" s="28"/>
      <c r="I27" s="28"/>
      <c r="J27" s="28"/>
      <c r="K27" s="28"/>
      <c r="L27" s="28"/>
      <c r="M27" s="28"/>
      <c r="N27" s="419"/>
      <c r="O27" s="28"/>
      <c r="P27" s="28"/>
      <c r="Q27" s="28"/>
      <c r="R27" s="28"/>
      <c r="S27" s="28"/>
      <c r="T27" s="28"/>
      <c r="U27" s="28"/>
      <c r="V27" s="28"/>
      <c r="W27" s="28"/>
      <c r="X27" s="28"/>
      <c r="Y27" s="28"/>
      <c r="Z27" s="28"/>
      <c r="AA27" s="28"/>
      <c r="AB27" s="28"/>
      <c r="AC27" s="28"/>
      <c r="AD27" s="28"/>
      <c r="AE27" s="28"/>
      <c r="AF27" s="28"/>
      <c r="AG27" s="28"/>
      <c r="AH27" s="28"/>
      <c r="AN27" s="257" t="s">
        <v>197</v>
      </c>
      <c r="AO27" s="420">
        <f>Formular_De!AN160</f>
        <v>0</v>
      </c>
      <c r="AP27" s="209" t="s">
        <v>82</v>
      </c>
      <c r="AQ27" s="421">
        <f>AO27</f>
        <v>0</v>
      </c>
      <c r="AR27" s="209" t="s">
        <v>82</v>
      </c>
      <c r="AU27" s="713"/>
      <c r="AV27" s="714"/>
    </row>
    <row r="28" spans="2:49" ht="12.75" x14ac:dyDescent="0.2">
      <c r="B28" s="28"/>
      <c r="C28" s="28"/>
      <c r="D28" s="28"/>
      <c r="E28" s="28"/>
      <c r="F28" s="28"/>
      <c r="G28" s="28"/>
      <c r="H28" s="28"/>
      <c r="I28" s="28"/>
      <c r="J28" s="28"/>
      <c r="K28" s="28"/>
      <c r="L28" s="28"/>
      <c r="M28" s="28"/>
      <c r="N28" s="43" t="s">
        <v>685</v>
      </c>
      <c r="O28" s="677"/>
      <c r="P28" s="677"/>
      <c r="Q28" s="677"/>
      <c r="R28" s="677"/>
      <c r="S28" s="677"/>
      <c r="T28" s="677"/>
      <c r="U28" s="677"/>
      <c r="V28" s="677"/>
      <c r="W28" s="677"/>
      <c r="X28" s="677"/>
      <c r="Y28" s="677"/>
      <c r="Z28" s="677"/>
      <c r="AA28" s="677"/>
      <c r="AB28" s="677"/>
      <c r="AC28" s="677"/>
      <c r="AD28" s="677"/>
      <c r="AE28" s="677"/>
      <c r="AF28" s="677"/>
      <c r="AG28" s="28"/>
      <c r="AH28" s="28"/>
      <c r="AN28" s="257" t="s">
        <v>198</v>
      </c>
      <c r="AO28" s="420">
        <f>Formular_De!AN161</f>
        <v>0</v>
      </c>
      <c r="AP28" s="209" t="s">
        <v>45</v>
      </c>
      <c r="AQ28" s="323">
        <f>IFERROR(IF(Formular_De!O23="Montana",AO28/AP19,AO28/AP18),0)</f>
        <v>0</v>
      </c>
      <c r="AR28" s="209" t="s">
        <v>82</v>
      </c>
      <c r="AU28" s="715">
        <f>SUM(AQ28:AQ34)</f>
        <v>0</v>
      </c>
      <c r="AV28" s="714" t="s">
        <v>257</v>
      </c>
      <c r="AW28" s="422"/>
    </row>
    <row r="29" spans="2:49" ht="12.75" x14ac:dyDescent="0.2">
      <c r="B29" s="28"/>
      <c r="C29" s="28"/>
      <c r="D29" s="28"/>
      <c r="E29" s="28"/>
      <c r="F29" s="28"/>
      <c r="G29" s="28"/>
      <c r="H29" s="28"/>
      <c r="I29" s="28"/>
      <c r="J29" s="28"/>
      <c r="K29" s="28"/>
      <c r="L29" s="28"/>
      <c r="M29" s="28"/>
      <c r="N29" s="43"/>
      <c r="O29" s="28"/>
      <c r="P29" s="28"/>
      <c r="Q29" s="28"/>
      <c r="R29" s="28"/>
      <c r="S29" s="28"/>
      <c r="T29" s="28"/>
      <c r="U29" s="28"/>
      <c r="V29" s="28"/>
      <c r="W29" s="28"/>
      <c r="X29" s="28"/>
      <c r="Y29" s="28"/>
      <c r="Z29" s="28"/>
      <c r="AA29" s="28"/>
      <c r="AB29" s="28"/>
      <c r="AC29" s="28"/>
      <c r="AD29" s="28"/>
      <c r="AE29" s="28"/>
      <c r="AF29" s="28"/>
      <c r="AG29" s="28"/>
      <c r="AH29" s="28"/>
      <c r="AN29" s="257" t="s">
        <v>196</v>
      </c>
      <c r="AO29" s="420">
        <f>Formular_De!AN162</f>
        <v>0</v>
      </c>
      <c r="AP29" s="209" t="s">
        <v>45</v>
      </c>
      <c r="AQ29" s="716">
        <f>IFERROR(IF(AS30&gt;AS29,AS30,AS29),0)</f>
        <v>0</v>
      </c>
      <c r="AR29" s="717" t="s">
        <v>82</v>
      </c>
      <c r="AS29" s="323" t="e">
        <f>AO29/AP20</f>
        <v>#VALUE!</v>
      </c>
      <c r="AT29" s="209" t="s">
        <v>82</v>
      </c>
      <c r="AU29" s="715"/>
      <c r="AV29" s="714"/>
    </row>
    <row r="30" spans="2:49" ht="12.75" x14ac:dyDescent="0.2">
      <c r="B30" s="28"/>
      <c r="C30" s="28"/>
      <c r="D30" s="28"/>
      <c r="E30" s="28"/>
      <c r="F30" s="28"/>
      <c r="G30" s="28"/>
      <c r="H30" s="28"/>
      <c r="I30" s="28"/>
      <c r="J30" s="28"/>
      <c r="K30" s="28"/>
      <c r="L30" s="28"/>
      <c r="M30" s="28"/>
      <c r="N30" s="43" t="s">
        <v>686</v>
      </c>
      <c r="O30" s="677"/>
      <c r="P30" s="677"/>
      <c r="Q30" s="677"/>
      <c r="R30" s="677"/>
      <c r="S30" s="677"/>
      <c r="T30" s="677"/>
      <c r="U30" s="677"/>
      <c r="V30" s="677"/>
      <c r="W30" s="677"/>
      <c r="X30" s="677"/>
      <c r="Y30" s="677"/>
      <c r="Z30" s="677"/>
      <c r="AA30" s="677"/>
      <c r="AB30" s="677"/>
      <c r="AC30" s="677"/>
      <c r="AD30" s="677"/>
      <c r="AE30" s="677"/>
      <c r="AF30" s="677"/>
      <c r="AG30" s="28"/>
      <c r="AH30" s="28"/>
      <c r="AN30" s="257" t="s">
        <v>199</v>
      </c>
      <c r="AO30" s="420">
        <f>Formular_De!AN163</f>
        <v>0</v>
      </c>
      <c r="AP30" s="209" t="s">
        <v>45</v>
      </c>
      <c r="AQ30" s="716"/>
      <c r="AR30" s="717"/>
      <c r="AS30" s="323" t="e">
        <f>AO30/AP21</f>
        <v>#VALUE!</v>
      </c>
      <c r="AT30" s="209" t="s">
        <v>82</v>
      </c>
      <c r="AU30" s="715"/>
      <c r="AV30" s="714"/>
    </row>
    <row r="31" spans="2:49" ht="12.75" x14ac:dyDescent="0.2">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N31" s="257" t="s">
        <v>283</v>
      </c>
      <c r="AO31" s="420">
        <f>Formular_De!AN164</f>
        <v>0</v>
      </c>
      <c r="AP31" s="209" t="s">
        <v>45</v>
      </c>
      <c r="AQ31" s="716">
        <f>IFERROR(IF(AO28&lt;&gt;0,0,IF(AS32&gt;AS31,AS32,AS31)),0)</f>
        <v>0</v>
      </c>
      <c r="AR31" s="717" t="s">
        <v>82</v>
      </c>
      <c r="AS31" s="323" t="e">
        <f>AO31/AP20</f>
        <v>#VALUE!</v>
      </c>
      <c r="AT31" s="209" t="s">
        <v>82</v>
      </c>
      <c r="AU31" s="715"/>
      <c r="AV31" s="714"/>
    </row>
    <row r="32" spans="2:49" ht="15" x14ac:dyDescent="0.2">
      <c r="B32" s="256"/>
      <c r="C32" s="183"/>
      <c r="D32" s="256"/>
      <c r="E32" s="256"/>
      <c r="F32" s="256"/>
      <c r="G32" s="256"/>
      <c r="H32" s="256"/>
      <c r="I32" s="256"/>
      <c r="J32" s="256"/>
      <c r="K32" s="256"/>
      <c r="L32" s="256"/>
      <c r="M32" s="256"/>
      <c r="N32" s="256"/>
      <c r="O32" s="256"/>
      <c r="P32" s="256"/>
      <c r="Q32" s="256"/>
      <c r="R32" s="256"/>
      <c r="S32" s="256"/>
      <c r="T32" s="256"/>
      <c r="U32" s="268" t="s">
        <v>687</v>
      </c>
      <c r="V32" s="732"/>
      <c r="W32" s="732"/>
      <c r="X32" s="233" t="s">
        <v>465</v>
      </c>
      <c r="Y32" s="233"/>
      <c r="Z32" s="28"/>
      <c r="AA32" s="28"/>
      <c r="AB32" s="28"/>
      <c r="AC32" s="28"/>
      <c r="AD32" s="28"/>
      <c r="AE32" s="28"/>
      <c r="AF32" s="28"/>
      <c r="AG32" s="28"/>
      <c r="AH32" s="28"/>
      <c r="AN32" s="257" t="s">
        <v>284</v>
      </c>
      <c r="AO32" s="420">
        <f>Formular_De!AN165</f>
        <v>0</v>
      </c>
      <c r="AP32" s="209" t="s">
        <v>45</v>
      </c>
      <c r="AQ32" s="716"/>
      <c r="AR32" s="717"/>
      <c r="AS32" s="323" t="e">
        <f>AO32/AP21</f>
        <v>#VALUE!</v>
      </c>
      <c r="AT32" s="209" t="s">
        <v>82</v>
      </c>
      <c r="AU32" s="715"/>
      <c r="AV32" s="714"/>
    </row>
    <row r="33" spans="1:50" ht="15" x14ac:dyDescent="0.2">
      <c r="B33" s="77"/>
      <c r="C33" s="77"/>
      <c r="D33" s="77"/>
      <c r="E33" s="77"/>
      <c r="F33" s="77"/>
      <c r="G33" s="77"/>
      <c r="H33" s="77"/>
      <c r="I33" s="245"/>
      <c r="J33" s="77"/>
      <c r="K33" s="253"/>
      <c r="L33" s="253"/>
      <c r="M33" s="77"/>
      <c r="N33" s="77"/>
      <c r="O33" s="253"/>
      <c r="P33" s="253"/>
      <c r="Q33" s="77"/>
      <c r="R33" s="30"/>
      <c r="S33" s="30"/>
      <c r="T33" s="28"/>
      <c r="U33" s="28"/>
      <c r="V33" s="28"/>
      <c r="W33" s="28"/>
      <c r="X33" s="28"/>
      <c r="Y33" s="28"/>
      <c r="Z33" s="28"/>
      <c r="AA33" s="28"/>
      <c r="AB33" s="28"/>
      <c r="AC33" s="28"/>
      <c r="AD33" s="28"/>
      <c r="AE33" s="28"/>
      <c r="AF33" s="28"/>
      <c r="AG33" s="28"/>
      <c r="AH33" s="28"/>
      <c r="AN33" s="257" t="s">
        <v>285</v>
      </c>
      <c r="AO33" s="420">
        <f>Formular_De!AN166</f>
        <v>0</v>
      </c>
      <c r="AP33" s="209" t="s">
        <v>45</v>
      </c>
      <c r="AQ33" s="716">
        <f>IFERROR(IF(AS34&gt;AS33,AS34,AS33),0)</f>
        <v>0</v>
      </c>
      <c r="AR33" s="717" t="s">
        <v>82</v>
      </c>
      <c r="AS33" s="423" t="e">
        <f>AO33/AP20</f>
        <v>#VALUE!</v>
      </c>
      <c r="AT33" s="209" t="s">
        <v>82</v>
      </c>
      <c r="AU33" s="715"/>
      <c r="AV33" s="714"/>
    </row>
    <row r="34" spans="1:50" ht="12.75" x14ac:dyDescent="0.2">
      <c r="B34" s="62"/>
      <c r="C34" s="77" t="s">
        <v>448</v>
      </c>
      <c r="D34" s="77"/>
      <c r="E34" s="90"/>
      <c r="F34" s="489" t="s">
        <v>449</v>
      </c>
      <c r="G34" s="489"/>
      <c r="H34" s="489" t="s">
        <v>450</v>
      </c>
      <c r="I34" s="489"/>
      <c r="J34" s="489" t="s">
        <v>451</v>
      </c>
      <c r="K34" s="489"/>
      <c r="L34" s="489" t="s">
        <v>452</v>
      </c>
      <c r="M34" s="489"/>
      <c r="N34" s="489" t="s">
        <v>679</v>
      </c>
      <c r="O34" s="489"/>
      <c r="P34" s="489" t="s">
        <v>454</v>
      </c>
      <c r="Q34" s="489"/>
      <c r="R34" s="489" t="s">
        <v>455</v>
      </c>
      <c r="S34" s="489"/>
      <c r="T34" s="489" t="s">
        <v>456</v>
      </c>
      <c r="U34" s="489"/>
      <c r="V34" s="489" t="s">
        <v>457</v>
      </c>
      <c r="W34" s="489"/>
      <c r="X34" s="489" t="s">
        <v>458</v>
      </c>
      <c r="Y34" s="489"/>
      <c r="Z34" s="489" t="s">
        <v>459</v>
      </c>
      <c r="AA34" s="489"/>
      <c r="AB34" s="489" t="s">
        <v>460</v>
      </c>
      <c r="AC34" s="489"/>
      <c r="AD34" s="489" t="s">
        <v>461</v>
      </c>
      <c r="AE34" s="489"/>
      <c r="AF34" s="28"/>
      <c r="AG34" s="28"/>
      <c r="AH34" s="28"/>
      <c r="AN34" s="257" t="s">
        <v>286</v>
      </c>
      <c r="AO34" s="420">
        <f>Formular_De!AN167</f>
        <v>0</v>
      </c>
      <c r="AP34" s="209" t="s">
        <v>45</v>
      </c>
      <c r="AQ34" s="716"/>
      <c r="AR34" s="717"/>
      <c r="AS34" s="423" t="e">
        <f>AO34/AP21</f>
        <v>#VALUE!</v>
      </c>
      <c r="AT34" s="209" t="s">
        <v>82</v>
      </c>
      <c r="AU34" s="715"/>
      <c r="AV34" s="714"/>
    </row>
    <row r="35" spans="1:50" ht="12.75" x14ac:dyDescent="0.2">
      <c r="B35" s="62"/>
      <c r="C35" s="28"/>
      <c r="D35" s="28"/>
      <c r="E35" s="28"/>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42">
        <f>SUM(F35:AC35)</f>
        <v>0</v>
      </c>
      <c r="AE35" s="742"/>
      <c r="AF35" s="497" t="s">
        <v>45</v>
      </c>
      <c r="AG35" s="497"/>
      <c r="AH35" s="497"/>
    </row>
    <row r="36" spans="1:50" ht="12.75" x14ac:dyDescent="0.2">
      <c r="B36" s="62"/>
      <c r="C36" s="28"/>
      <c r="D36" s="28"/>
      <c r="E36" s="28"/>
      <c r="F36" s="189"/>
      <c r="G36" s="28"/>
      <c r="H36" s="28"/>
      <c r="I36" s="28"/>
      <c r="J36" s="28"/>
      <c r="K36" s="28"/>
      <c r="L36" s="28"/>
      <c r="M36" s="28"/>
      <c r="N36" s="28"/>
      <c r="O36" s="28"/>
      <c r="P36" s="28"/>
      <c r="Q36" s="28"/>
      <c r="R36" s="28"/>
      <c r="S36" s="28"/>
      <c r="T36" s="28"/>
      <c r="U36" s="28"/>
      <c r="V36" s="28"/>
      <c r="W36" s="28"/>
      <c r="X36" s="28"/>
      <c r="Y36" s="28"/>
      <c r="Z36" s="28"/>
      <c r="AA36" s="28"/>
      <c r="AB36" s="28"/>
      <c r="AC36" s="28"/>
      <c r="AD36" s="720" t="str">
        <f>IFERROR(AD35/V32,"")</f>
        <v/>
      </c>
      <c r="AE36" s="720"/>
      <c r="AF36" s="28" t="s">
        <v>467</v>
      </c>
      <c r="AG36" s="28"/>
      <c r="AH36" s="28"/>
    </row>
    <row r="37" spans="1:50" ht="12.75" x14ac:dyDescent="0.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50" ht="15" x14ac:dyDescent="0.2">
      <c r="A38" s="28"/>
      <c r="B38" s="28"/>
      <c r="C38" s="721" t="s">
        <v>688</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28"/>
      <c r="AC38" s="28"/>
      <c r="AD38" s="28"/>
      <c r="AE38" s="28"/>
      <c r="AF38" s="28"/>
      <c r="AG38" s="28"/>
      <c r="AH38" s="28"/>
      <c r="AI38" s="199"/>
    </row>
    <row r="39" spans="1:50" ht="15" x14ac:dyDescent="0.2">
      <c r="A39" s="28"/>
      <c r="B39" s="28"/>
      <c r="C39" s="721"/>
      <c r="D39" s="721"/>
      <c r="E39" s="721"/>
      <c r="F39" s="721"/>
      <c r="G39" s="721"/>
      <c r="H39" s="721"/>
      <c r="I39" s="721"/>
      <c r="J39" s="721"/>
      <c r="K39" s="721"/>
      <c r="L39" s="721"/>
      <c r="M39" s="721"/>
      <c r="N39" s="721"/>
      <c r="O39" s="721"/>
      <c r="P39" s="721"/>
      <c r="Q39" s="721"/>
      <c r="R39" s="721"/>
      <c r="S39" s="721"/>
      <c r="T39" s="721"/>
      <c r="U39" s="721"/>
      <c r="V39" s="721"/>
      <c r="W39" s="721"/>
      <c r="X39" s="721"/>
      <c r="Y39" s="721"/>
      <c r="Z39" s="721"/>
      <c r="AA39" s="721"/>
      <c r="AC39" s="28"/>
      <c r="AD39" s="28"/>
      <c r="AE39" s="402" t="str">
        <f>IFERROR(AU58,"")</f>
        <v/>
      </c>
      <c r="AF39" s="695" t="s">
        <v>468</v>
      </c>
      <c r="AG39" s="695"/>
      <c r="AH39" s="28"/>
      <c r="AI39" s="199"/>
      <c r="AL39" s="407" t="s">
        <v>653</v>
      </c>
      <c r="AM39" s="408"/>
      <c r="AN39" s="408"/>
      <c r="AO39" s="408"/>
      <c r="AP39" s="408"/>
      <c r="AQ39" s="409"/>
    </row>
    <row r="40" spans="1:50" ht="15" x14ac:dyDescent="0.2">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199"/>
      <c r="AL40" s="410"/>
      <c r="AQ40" s="411"/>
    </row>
    <row r="41" spans="1:50" s="251" customFormat="1" ht="15"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2" t="s">
        <v>689</v>
      </c>
      <c r="AB41" s="28"/>
      <c r="AC41" s="28"/>
      <c r="AD41" s="28"/>
      <c r="AE41" s="403"/>
      <c r="AF41" s="722" t="s">
        <v>468</v>
      </c>
      <c r="AG41" s="722"/>
      <c r="AH41" s="28"/>
      <c r="AI41" s="199"/>
      <c r="AJ41" s="209"/>
      <c r="AK41" s="209"/>
      <c r="AL41" s="410"/>
      <c r="AM41" s="209" t="s">
        <v>201</v>
      </c>
      <c r="AN41" s="412">
        <f>SUM(X35:AC35,F35:M35)</f>
        <v>0</v>
      </c>
      <c r="AO41" s="209" t="s">
        <v>45</v>
      </c>
      <c r="AP41" s="412" t="e">
        <f>AN41/$V$32</f>
        <v>#DIV/0!</v>
      </c>
      <c r="AQ41" s="411" t="s">
        <v>211</v>
      </c>
      <c r="AR41" s="209" t="s">
        <v>212</v>
      </c>
      <c r="AS41" s="209" t="s">
        <v>192</v>
      </c>
      <c r="AT41" s="209"/>
      <c r="AU41" s="209"/>
      <c r="AV41" s="209"/>
      <c r="AW41" s="209"/>
      <c r="AX41" s="209"/>
    </row>
    <row r="42" spans="1:50" ht="15" customHeight="1" thickBot="1" x14ac:dyDescent="0.2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424" t="s">
        <v>664</v>
      </c>
      <c r="AH42" s="270"/>
      <c r="AI42" s="270"/>
      <c r="AK42" s="425" t="e">
        <f>AE39-AE41</f>
        <v>#VALUE!</v>
      </c>
      <c r="AL42" s="410"/>
      <c r="AM42" s="209" t="s">
        <v>201</v>
      </c>
      <c r="AN42" s="412">
        <f>SUM(V35:AC35,F35:O35)</f>
        <v>0</v>
      </c>
      <c r="AO42" s="209" t="s">
        <v>45</v>
      </c>
      <c r="AP42" s="412" t="e">
        <f>AN42/$V$32</f>
        <v>#DIV/0!</v>
      </c>
      <c r="AQ42" s="411" t="s">
        <v>211</v>
      </c>
      <c r="AR42" s="209" t="s">
        <v>213</v>
      </c>
      <c r="AS42" s="209" t="s">
        <v>193</v>
      </c>
    </row>
    <row r="43" spans="1:50" ht="15" x14ac:dyDescent="0.2">
      <c r="A43" s="199"/>
      <c r="B43" s="699" t="str">
        <f>IF(AE41=0,"Es wird keine finanzielle Beteiligung angegeben",IF(AE41&gt;=AE39,"Die erworbenen Anteile decken den Bedarf des ursprünglichen Projekts","Die erworbenen Anteile reichen nicht aus, um den Bedarf des ursprünglichen Projekts zu decken, das Defizit beträgt "&amp; ROUND(AK42,1)&amp;" kWc"))</f>
        <v>Es wird keine finanzielle Beteiligung angegeben</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1"/>
      <c r="AI43" s="271"/>
      <c r="AL43" s="410"/>
      <c r="AM43" s="209" t="s">
        <v>47</v>
      </c>
      <c r="AN43" s="412">
        <f>SUM(L35:W35)</f>
        <v>0</v>
      </c>
      <c r="AO43" s="209" t="s">
        <v>45</v>
      </c>
      <c r="AP43" s="412" t="e">
        <f>AN43/$V$32</f>
        <v>#DIV/0!</v>
      </c>
      <c r="AQ43" s="411" t="s">
        <v>211</v>
      </c>
      <c r="AR43" s="209" t="s">
        <v>214</v>
      </c>
    </row>
    <row r="44" spans="1:50" ht="15" x14ac:dyDescent="0.2">
      <c r="A44" s="199"/>
      <c r="B44" s="702"/>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703"/>
      <c r="AI44" s="271"/>
      <c r="AL44" s="410"/>
      <c r="AM44" s="209" t="s">
        <v>219</v>
      </c>
      <c r="AN44" s="412">
        <f>SUM(Z35:AC35,F35:I35)</f>
        <v>0</v>
      </c>
      <c r="AO44" s="209" t="s">
        <v>45</v>
      </c>
      <c r="AP44" s="412" t="e">
        <f>AN44/$V$32</f>
        <v>#DIV/0!</v>
      </c>
      <c r="AQ44" s="411" t="s">
        <v>211</v>
      </c>
      <c r="AR44" s="209" t="s">
        <v>215</v>
      </c>
    </row>
    <row r="45" spans="1:50" ht="15.75" thickBot="1" x14ac:dyDescent="0.25">
      <c r="A45" s="199"/>
      <c r="B45" s="704"/>
      <c r="C45" s="705"/>
      <c r="D45" s="705"/>
      <c r="E45" s="705"/>
      <c r="F45" s="705"/>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6"/>
      <c r="AI45" s="432"/>
      <c r="AL45" s="414"/>
      <c r="AM45" s="415"/>
      <c r="AN45" s="415"/>
      <c r="AO45" s="415"/>
      <c r="AP45" s="416" t="str">
        <f>AD36</f>
        <v/>
      </c>
      <c r="AQ45" s="417" t="s">
        <v>211</v>
      </c>
      <c r="AR45" s="209" t="s">
        <v>667</v>
      </c>
    </row>
    <row r="46" spans="1:50" ht="15" customHeight="1" x14ac:dyDescent="0.2">
      <c r="A46" s="199"/>
      <c r="B46" s="757" t="s">
        <v>701</v>
      </c>
      <c r="C46" s="758"/>
      <c r="D46" s="758"/>
      <c r="E46" s="758"/>
      <c r="F46" s="758"/>
      <c r="G46" s="75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431"/>
      <c r="AJ46" s="430"/>
      <c r="AK46" s="430"/>
      <c r="AN46" s="418" t="s">
        <v>222</v>
      </c>
      <c r="AO46" s="418"/>
      <c r="AP46" s="418"/>
      <c r="AQ46" s="418"/>
      <c r="AR46" s="418"/>
    </row>
    <row r="47" spans="1:50" ht="13.5" thickBot="1" x14ac:dyDescent="0.25">
      <c r="B47" s="759"/>
      <c r="C47" s="759"/>
      <c r="D47" s="759"/>
      <c r="E47" s="759"/>
      <c r="F47" s="759"/>
      <c r="G47" s="759"/>
      <c r="H47" s="759"/>
      <c r="I47" s="759"/>
      <c r="J47" s="759"/>
      <c r="K47" s="759"/>
      <c r="L47" s="759"/>
      <c r="M47" s="759"/>
      <c r="N47" s="759"/>
      <c r="O47" s="759"/>
      <c r="P47" s="759"/>
      <c r="Q47" s="759"/>
      <c r="R47" s="759"/>
      <c r="S47" s="759"/>
      <c r="T47" s="759"/>
      <c r="U47" s="759"/>
      <c r="V47" s="759"/>
      <c r="W47" s="759"/>
      <c r="X47" s="759"/>
      <c r="Y47" s="759"/>
      <c r="Z47" s="759"/>
      <c r="AA47" s="759"/>
      <c r="AB47" s="759"/>
      <c r="AC47" s="759"/>
      <c r="AD47" s="759"/>
      <c r="AE47" s="759"/>
      <c r="AF47" s="759"/>
      <c r="AG47" s="759"/>
      <c r="AH47" s="759"/>
    </row>
    <row r="48" spans="1:50" ht="12.75" x14ac:dyDescent="0.2">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N48" s="257" t="s">
        <v>195</v>
      </c>
      <c r="AO48" s="420">
        <f>Formular_De!AN158</f>
        <v>0</v>
      </c>
      <c r="AP48" s="209" t="s">
        <v>82</v>
      </c>
      <c r="AQ48" s="421">
        <f>AO48</f>
        <v>0</v>
      </c>
      <c r="AR48" s="209" t="s">
        <v>665</v>
      </c>
      <c r="AS48" s="425" t="e">
        <f>AQ48*($AP$22/$AP$45)</f>
        <v>#VALUE!</v>
      </c>
      <c r="AT48" s="209" t="s">
        <v>666</v>
      </c>
      <c r="AU48" s="712" t="e">
        <f>SUM(AS48:AS50)</f>
        <v>#VALUE!</v>
      </c>
      <c r="AV48" s="714" t="s">
        <v>256</v>
      </c>
    </row>
    <row r="49" spans="1:50" ht="15.75" x14ac:dyDescent="0.2">
      <c r="B49" s="34" t="s">
        <v>672</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N49" s="257" t="s">
        <v>194</v>
      </c>
      <c r="AO49" s="420">
        <f>Formular_De!AN159</f>
        <v>0</v>
      </c>
      <c r="AP49" s="209" t="s">
        <v>82</v>
      </c>
      <c r="AQ49" s="421">
        <f>AO49</f>
        <v>0</v>
      </c>
      <c r="AR49" s="209" t="s">
        <v>665</v>
      </c>
      <c r="AS49" s="425" t="e">
        <f t="shared" ref="AS49:AS50" si="0">AQ49*($AP$22/$AP$45)</f>
        <v>#VALUE!</v>
      </c>
      <c r="AT49" s="209" t="s">
        <v>666</v>
      </c>
      <c r="AU49" s="713"/>
      <c r="AV49" s="714"/>
    </row>
    <row r="50" spans="1:50" ht="12.75" x14ac:dyDescent="0.2">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N50" s="257" t="s">
        <v>197</v>
      </c>
      <c r="AO50" s="420">
        <f>Formular_De!AN160</f>
        <v>0</v>
      </c>
      <c r="AP50" s="209" t="s">
        <v>82</v>
      </c>
      <c r="AQ50" s="421">
        <f>AO50</f>
        <v>0</v>
      </c>
      <c r="AR50" s="209" t="s">
        <v>665</v>
      </c>
      <c r="AS50" s="425" t="e">
        <f t="shared" si="0"/>
        <v>#VALUE!</v>
      </c>
      <c r="AT50" s="209" t="s">
        <v>666</v>
      </c>
      <c r="AU50" s="713"/>
      <c r="AV50" s="714"/>
    </row>
    <row r="51" spans="1:50" ht="18.75" customHeight="1" x14ac:dyDescent="0.2">
      <c r="B51" s="1"/>
      <c r="C51" s="104"/>
      <c r="D51" s="104" t="s">
        <v>673</v>
      </c>
      <c r="E51" s="1"/>
      <c r="F51" s="1"/>
      <c r="G51" s="1"/>
      <c r="H51" s="1"/>
      <c r="I51" s="1"/>
      <c r="J51" s="1"/>
      <c r="K51" s="1"/>
      <c r="L51" s="1"/>
      <c r="M51" s="1"/>
      <c r="N51" s="1"/>
      <c r="O51" s="1"/>
      <c r="P51" s="1"/>
      <c r="Q51" s="1"/>
      <c r="R51" s="70"/>
      <c r="S51" s="1"/>
      <c r="T51" s="1"/>
      <c r="U51" s="1"/>
      <c r="V51" s="1"/>
      <c r="W51" s="1"/>
      <c r="X51" s="1"/>
      <c r="Y51" s="1"/>
      <c r="Z51" s="1"/>
      <c r="AA51" s="1"/>
      <c r="AB51" s="1"/>
      <c r="AC51" s="1"/>
      <c r="AD51" s="1"/>
      <c r="AE51" s="1"/>
      <c r="AF51" s="1"/>
      <c r="AG51" s="1"/>
      <c r="AH51" s="1"/>
      <c r="AI51" s="1"/>
      <c r="AN51" s="257" t="s">
        <v>198</v>
      </c>
      <c r="AO51" s="420">
        <f>Formular_De!AN161</f>
        <v>0</v>
      </c>
      <c r="AP51" s="209" t="s">
        <v>45</v>
      </c>
      <c r="AQ51" s="323">
        <f>IFERROR(IF(Formular_De!O23="Montana",AO51/AP42,AO51/AP41),0)</f>
        <v>0</v>
      </c>
      <c r="AR51" s="209" t="s">
        <v>82</v>
      </c>
      <c r="AS51" s="425"/>
      <c r="AU51" s="715">
        <f>SUM(AQ51:AQ57)</f>
        <v>0</v>
      </c>
      <c r="AV51" s="714" t="s">
        <v>257</v>
      </c>
    </row>
    <row r="52" spans="1:50" ht="15.75" customHeight="1" x14ac:dyDescent="0.2">
      <c r="B52" s="1"/>
      <c r="C52" s="104"/>
      <c r="D52" s="104" t="s">
        <v>674</v>
      </c>
      <c r="E52" s="1"/>
      <c r="F52" s="1"/>
      <c r="G52" s="1"/>
      <c r="H52" s="1"/>
      <c r="I52" s="1"/>
      <c r="J52" s="1"/>
      <c r="K52" s="1"/>
      <c r="L52" s="1"/>
      <c r="M52" s="1"/>
      <c r="N52" s="1"/>
      <c r="O52" s="1"/>
      <c r="P52" s="1"/>
      <c r="Q52" s="1"/>
      <c r="R52" s="70"/>
      <c r="S52" s="1"/>
      <c r="T52" s="1"/>
      <c r="U52" s="1"/>
      <c r="V52" s="1"/>
      <c r="W52" s="1"/>
      <c r="X52" s="1"/>
      <c r="Y52" s="1"/>
      <c r="Z52" s="1"/>
      <c r="AA52" s="1"/>
      <c r="AB52" s="1"/>
      <c r="AC52" s="1"/>
      <c r="AD52" s="1"/>
      <c r="AE52" s="1"/>
      <c r="AF52" s="1"/>
      <c r="AG52" s="1"/>
      <c r="AH52" s="1"/>
      <c r="AI52" s="1"/>
      <c r="AN52" s="257" t="s">
        <v>196</v>
      </c>
      <c r="AO52" s="420">
        <f>Formular_De!AN162</f>
        <v>0</v>
      </c>
      <c r="AP52" s="209" t="s">
        <v>45</v>
      </c>
      <c r="AQ52" s="716">
        <f>IFERROR(IF(AS53&gt;AS52,AS53,AS52),0)</f>
        <v>0</v>
      </c>
      <c r="AR52" s="717" t="s">
        <v>82</v>
      </c>
      <c r="AS52" s="323" t="e">
        <f>AO52/AP43</f>
        <v>#DIV/0!</v>
      </c>
      <c r="AT52" s="209" t="s">
        <v>82</v>
      </c>
      <c r="AU52" s="715"/>
      <c r="AV52" s="714"/>
    </row>
    <row r="53" spans="1:50" ht="15.75" customHeight="1" x14ac:dyDescent="0.2">
      <c r="B53" s="1"/>
      <c r="C53" s="104"/>
      <c r="D53" s="104" t="s">
        <v>675</v>
      </c>
      <c r="E53" s="1"/>
      <c r="F53" s="1"/>
      <c r="G53" s="1"/>
      <c r="H53" s="1"/>
      <c r="I53" s="1"/>
      <c r="J53" s="1"/>
      <c r="K53" s="1"/>
      <c r="L53" s="1"/>
      <c r="M53" s="1"/>
      <c r="N53" s="1"/>
      <c r="O53" s="1"/>
      <c r="P53" s="1"/>
      <c r="Q53" s="1"/>
      <c r="R53" s="70"/>
      <c r="S53" s="1"/>
      <c r="T53" s="1"/>
      <c r="U53" s="1"/>
      <c r="V53" s="1"/>
      <c r="W53" s="1"/>
      <c r="X53" s="1"/>
      <c r="Y53" s="1"/>
      <c r="Z53" s="1"/>
      <c r="AA53" s="1"/>
      <c r="AB53" s="1"/>
      <c r="AC53" s="1"/>
      <c r="AD53" s="1"/>
      <c r="AE53" s="1"/>
      <c r="AF53" s="1"/>
      <c r="AG53" s="1"/>
      <c r="AH53" s="1"/>
      <c r="AI53" s="1"/>
      <c r="AN53" s="257" t="s">
        <v>199</v>
      </c>
      <c r="AO53" s="420">
        <f>Formular_De!AN163</f>
        <v>0</v>
      </c>
      <c r="AP53" s="209" t="s">
        <v>45</v>
      </c>
      <c r="AQ53" s="716"/>
      <c r="AR53" s="717"/>
      <c r="AS53" s="323" t="e">
        <f>AO53/AP44</f>
        <v>#DIV/0!</v>
      </c>
      <c r="AT53" s="209" t="s">
        <v>82</v>
      </c>
      <c r="AU53" s="715"/>
      <c r="AV53" s="714"/>
    </row>
    <row r="54" spans="1:50" ht="15.75" customHeight="1" thickBot="1" x14ac:dyDescent="0.25">
      <c r="B54" s="14"/>
      <c r="C54" s="14"/>
      <c r="D54" s="42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N54" s="257" t="s">
        <v>283</v>
      </c>
      <c r="AO54" s="420">
        <f>Formular_De!AN164</f>
        <v>0</v>
      </c>
      <c r="AP54" s="209" t="s">
        <v>45</v>
      </c>
      <c r="AQ54" s="716">
        <f>IFERROR(IF(AO51&lt;&gt;0,0,IF(AS55&gt;AS54,AS55,AS54)),0)</f>
        <v>0</v>
      </c>
      <c r="AR54" s="717" t="s">
        <v>82</v>
      </c>
      <c r="AS54" s="323" t="e">
        <f>AO54/AP43</f>
        <v>#DIV/0!</v>
      </c>
      <c r="AT54" s="209" t="s">
        <v>82</v>
      </c>
      <c r="AU54" s="715"/>
      <c r="AV54" s="714"/>
    </row>
    <row r="55" spans="1:50" ht="12.75" x14ac:dyDescent="0.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N55" s="257" t="s">
        <v>284</v>
      </c>
      <c r="AO55" s="420">
        <f>Formular_De!AN165</f>
        <v>0</v>
      </c>
      <c r="AP55" s="209" t="s">
        <v>45</v>
      </c>
      <c r="AQ55" s="716"/>
      <c r="AR55" s="717"/>
      <c r="AS55" s="323" t="e">
        <f>AO55/AP44</f>
        <v>#DIV/0!</v>
      </c>
      <c r="AT55" s="209" t="s">
        <v>82</v>
      </c>
      <c r="AU55" s="715"/>
      <c r="AV55" s="714"/>
    </row>
    <row r="56" spans="1:50" ht="23.25" customHeight="1" x14ac:dyDescent="0.2">
      <c r="B56" s="523" t="s">
        <v>486</v>
      </c>
      <c r="C56" s="523"/>
      <c r="D56" s="523"/>
      <c r="E56" s="523"/>
      <c r="F56" s="523"/>
      <c r="G56" s="753"/>
      <c r="H56" s="524" t="s">
        <v>491</v>
      </c>
      <c r="I56" s="525"/>
      <c r="J56" s="525"/>
      <c r="K56" s="525"/>
      <c r="L56" s="525"/>
      <c r="M56" s="525"/>
      <c r="N56" s="525"/>
      <c r="O56" s="525"/>
      <c r="P56" s="525"/>
      <c r="Q56" s="525"/>
      <c r="R56" s="525"/>
      <c r="S56" s="525"/>
      <c r="T56" s="526"/>
      <c r="U56" s="530" t="s">
        <v>696</v>
      </c>
      <c r="V56" s="531"/>
      <c r="W56" s="531"/>
      <c r="X56" s="531"/>
      <c r="Y56" s="531"/>
      <c r="Z56" s="531"/>
      <c r="AA56" s="531"/>
      <c r="AB56" s="531"/>
      <c r="AC56" s="531"/>
      <c r="AD56" s="531"/>
      <c r="AE56" s="531"/>
      <c r="AF56" s="531"/>
      <c r="AG56" s="532"/>
      <c r="AH56" s="28"/>
      <c r="AN56" s="257" t="s">
        <v>285</v>
      </c>
      <c r="AO56" s="420">
        <f>Formular_De!AN166</f>
        <v>0</v>
      </c>
      <c r="AP56" s="209" t="s">
        <v>45</v>
      </c>
      <c r="AQ56" s="716">
        <f>IFERROR(IF(AS57&gt;AS56,AS57,AS56),0)</f>
        <v>0</v>
      </c>
      <c r="AR56" s="717" t="s">
        <v>82</v>
      </c>
      <c r="AS56" s="423" t="e">
        <f>AO56/AP43</f>
        <v>#DIV/0!</v>
      </c>
      <c r="AT56" s="209" t="s">
        <v>82</v>
      </c>
      <c r="AU56" s="715"/>
      <c r="AV56" s="714"/>
    </row>
    <row r="57" spans="1:50" ht="16.5" thickBot="1" x14ac:dyDescent="0.25">
      <c r="B57" s="198"/>
      <c r="C57" s="198"/>
      <c r="D57" s="198"/>
      <c r="E57" s="198"/>
      <c r="F57" s="198"/>
      <c r="G57" s="198"/>
      <c r="H57" s="527"/>
      <c r="I57" s="528"/>
      <c r="J57" s="528"/>
      <c r="K57" s="528"/>
      <c r="L57" s="528"/>
      <c r="M57" s="528"/>
      <c r="N57" s="528"/>
      <c r="O57" s="528"/>
      <c r="P57" s="528"/>
      <c r="Q57" s="528"/>
      <c r="R57" s="528"/>
      <c r="S57" s="528"/>
      <c r="T57" s="529"/>
      <c r="U57" s="533"/>
      <c r="V57" s="534"/>
      <c r="W57" s="534"/>
      <c r="X57" s="534"/>
      <c r="Y57" s="534"/>
      <c r="Z57" s="534"/>
      <c r="AA57" s="534"/>
      <c r="AB57" s="534"/>
      <c r="AC57" s="534"/>
      <c r="AD57" s="534"/>
      <c r="AE57" s="534"/>
      <c r="AF57" s="534"/>
      <c r="AG57" s="535"/>
      <c r="AH57" s="28"/>
      <c r="AN57" s="257" t="s">
        <v>286</v>
      </c>
      <c r="AO57" s="420">
        <f>Formular_De!AN167</f>
        <v>0</v>
      </c>
      <c r="AP57" s="209" t="s">
        <v>45</v>
      </c>
      <c r="AQ57" s="716"/>
      <c r="AR57" s="717"/>
      <c r="AS57" s="423" t="e">
        <f>AO57/AP44</f>
        <v>#DIV/0!</v>
      </c>
      <c r="AT57" s="209" t="s">
        <v>82</v>
      </c>
      <c r="AU57" s="715"/>
      <c r="AV57" s="714"/>
    </row>
    <row r="58" spans="1:50" ht="12.75" customHeight="1" x14ac:dyDescent="0.2">
      <c r="B58" s="536" t="s">
        <v>487</v>
      </c>
      <c r="C58" s="536"/>
      <c r="D58" s="536"/>
      <c r="E58" s="536"/>
      <c r="F58" s="536"/>
      <c r="G58" s="755"/>
      <c r="H58" s="537"/>
      <c r="I58" s="538"/>
      <c r="J58" s="538"/>
      <c r="K58" s="538"/>
      <c r="L58" s="538"/>
      <c r="M58" s="538"/>
      <c r="N58" s="538"/>
      <c r="O58" s="538"/>
      <c r="P58" s="538"/>
      <c r="Q58" s="538"/>
      <c r="R58" s="538"/>
      <c r="S58" s="538"/>
      <c r="T58" s="539"/>
      <c r="U58" s="729"/>
      <c r="V58" s="730"/>
      <c r="W58" s="730"/>
      <c r="X58" s="730"/>
      <c r="Y58" s="730"/>
      <c r="Z58" s="730"/>
      <c r="AA58" s="730"/>
      <c r="AB58" s="730"/>
      <c r="AC58" s="730"/>
      <c r="AD58" s="730"/>
      <c r="AE58" s="730"/>
      <c r="AF58" s="730"/>
      <c r="AG58" s="731"/>
      <c r="AH58" s="28"/>
      <c r="AU58" s="427" t="e">
        <f>SUM(AU48:AU57)</f>
        <v>#VALUE!</v>
      </c>
    </row>
    <row r="59" spans="1:50" ht="12.75" x14ac:dyDescent="0.2">
      <c r="B59" s="536"/>
      <c r="C59" s="536"/>
      <c r="D59" s="536"/>
      <c r="E59" s="536"/>
      <c r="F59" s="536"/>
      <c r="G59" s="755"/>
      <c r="H59" s="543"/>
      <c r="I59" s="544"/>
      <c r="J59" s="544"/>
      <c r="K59" s="544"/>
      <c r="L59" s="544"/>
      <c r="M59" s="544"/>
      <c r="N59" s="544"/>
      <c r="O59" s="544"/>
      <c r="P59" s="544"/>
      <c r="Q59" s="544"/>
      <c r="R59" s="544"/>
      <c r="S59" s="544"/>
      <c r="T59" s="545"/>
      <c r="U59" s="723"/>
      <c r="V59" s="724"/>
      <c r="W59" s="724"/>
      <c r="X59" s="724"/>
      <c r="Y59" s="724"/>
      <c r="Z59" s="724"/>
      <c r="AA59" s="724"/>
      <c r="AB59" s="724"/>
      <c r="AC59" s="724"/>
      <c r="AD59" s="724"/>
      <c r="AE59" s="724"/>
      <c r="AF59" s="724"/>
      <c r="AG59" s="725"/>
      <c r="AH59" s="28"/>
    </row>
    <row r="60" spans="1:50" s="428" customFormat="1" ht="18.75" customHeight="1" x14ac:dyDescent="0.2">
      <c r="A60" s="62"/>
      <c r="B60" s="558" t="s">
        <v>488</v>
      </c>
      <c r="C60" s="558"/>
      <c r="D60" s="558"/>
      <c r="E60" s="558"/>
      <c r="F60" s="558"/>
      <c r="G60" s="756"/>
      <c r="H60" s="543"/>
      <c r="I60" s="544"/>
      <c r="J60" s="544"/>
      <c r="K60" s="544"/>
      <c r="L60" s="544"/>
      <c r="M60" s="544"/>
      <c r="N60" s="544"/>
      <c r="O60" s="544"/>
      <c r="P60" s="544"/>
      <c r="Q60" s="544"/>
      <c r="R60" s="544"/>
      <c r="S60" s="544"/>
      <c r="T60" s="545"/>
      <c r="U60" s="733"/>
      <c r="V60" s="734"/>
      <c r="W60" s="734"/>
      <c r="X60" s="734"/>
      <c r="Y60" s="734"/>
      <c r="Z60" s="734"/>
      <c r="AA60" s="734"/>
      <c r="AB60" s="734"/>
      <c r="AC60" s="734"/>
      <c r="AD60" s="734"/>
      <c r="AE60" s="734"/>
      <c r="AF60" s="734"/>
      <c r="AG60" s="735"/>
      <c r="AH60" s="28"/>
      <c r="AI60" s="28"/>
      <c r="AL60" s="429">
        <v>0</v>
      </c>
      <c r="AM60" s="429"/>
      <c r="AN60" s="429"/>
    </row>
    <row r="61" spans="1:50" s="428" customFormat="1" ht="14.25" x14ac:dyDescent="0.2">
      <c r="A61" s="62"/>
      <c r="B61" s="558" t="s">
        <v>695</v>
      </c>
      <c r="C61" s="558"/>
      <c r="D61" s="558"/>
      <c r="E61" s="558"/>
      <c r="F61" s="558"/>
      <c r="G61" s="756"/>
      <c r="H61" s="543"/>
      <c r="I61" s="544"/>
      <c r="J61" s="544"/>
      <c r="K61" s="544"/>
      <c r="L61" s="544"/>
      <c r="M61" s="544"/>
      <c r="N61" s="544"/>
      <c r="O61" s="544"/>
      <c r="P61" s="544"/>
      <c r="Q61" s="544"/>
      <c r="R61" s="544"/>
      <c r="S61" s="544"/>
      <c r="T61" s="545"/>
      <c r="U61" s="733"/>
      <c r="V61" s="734"/>
      <c r="W61" s="734"/>
      <c r="X61" s="734"/>
      <c r="Y61" s="734"/>
      <c r="Z61" s="734"/>
      <c r="AA61" s="734"/>
      <c r="AB61" s="734"/>
      <c r="AC61" s="734"/>
      <c r="AD61" s="734"/>
      <c r="AE61" s="734"/>
      <c r="AF61" s="734"/>
      <c r="AG61" s="735"/>
      <c r="AH61" s="28"/>
      <c r="AI61" s="28"/>
    </row>
    <row r="62" spans="1:50" ht="14.25" customHeight="1" x14ac:dyDescent="0.2">
      <c r="B62" s="536" t="s">
        <v>490</v>
      </c>
      <c r="C62" s="536"/>
      <c r="D62" s="536"/>
      <c r="E62" s="536"/>
      <c r="F62" s="536"/>
      <c r="G62" s="755"/>
      <c r="H62" s="543"/>
      <c r="I62" s="544"/>
      <c r="J62" s="544"/>
      <c r="K62" s="544"/>
      <c r="L62" s="544"/>
      <c r="M62" s="544"/>
      <c r="N62" s="544"/>
      <c r="O62" s="544"/>
      <c r="P62" s="544"/>
      <c r="Q62" s="544"/>
      <c r="R62" s="544"/>
      <c r="S62" s="544"/>
      <c r="T62" s="545"/>
      <c r="U62" s="736"/>
      <c r="V62" s="737"/>
      <c r="W62" s="737"/>
      <c r="X62" s="737"/>
      <c r="Y62" s="737"/>
      <c r="Z62" s="737"/>
      <c r="AA62" s="737"/>
      <c r="AB62" s="737"/>
      <c r="AC62" s="737"/>
      <c r="AD62" s="737"/>
      <c r="AE62" s="737"/>
      <c r="AF62" s="737"/>
      <c r="AG62" s="738"/>
      <c r="AH62" s="28"/>
      <c r="AL62" s="429">
        <v>0</v>
      </c>
      <c r="AM62" s="429"/>
      <c r="AN62" s="428"/>
      <c r="AO62" s="428"/>
      <c r="AP62" s="428"/>
      <c r="AQ62" s="428"/>
      <c r="AR62" s="428"/>
      <c r="AS62" s="428"/>
      <c r="AT62" s="428"/>
      <c r="AU62" s="428"/>
      <c r="AV62" s="428"/>
      <c r="AW62" s="428"/>
      <c r="AX62" s="428"/>
    </row>
    <row r="63" spans="1:50" ht="21.75" customHeight="1" x14ac:dyDescent="0.2">
      <c r="B63" s="536"/>
      <c r="C63" s="536"/>
      <c r="D63" s="536"/>
      <c r="E63" s="536"/>
      <c r="F63" s="536"/>
      <c r="G63" s="755"/>
      <c r="H63" s="552"/>
      <c r="I63" s="553"/>
      <c r="J63" s="553"/>
      <c r="K63" s="553"/>
      <c r="L63" s="553"/>
      <c r="M63" s="553"/>
      <c r="N63" s="553"/>
      <c r="O63" s="553"/>
      <c r="P63" s="553"/>
      <c r="Q63" s="553"/>
      <c r="R63" s="553"/>
      <c r="S63" s="553"/>
      <c r="T63" s="554"/>
      <c r="U63" s="739"/>
      <c r="V63" s="740"/>
      <c r="W63" s="740"/>
      <c r="X63" s="740"/>
      <c r="Y63" s="740"/>
      <c r="Z63" s="740"/>
      <c r="AA63" s="740"/>
      <c r="AB63" s="740"/>
      <c r="AC63" s="740"/>
      <c r="AD63" s="740"/>
      <c r="AE63" s="740"/>
      <c r="AF63" s="740"/>
      <c r="AG63" s="741"/>
      <c r="AH63" s="28"/>
      <c r="AL63" s="428"/>
      <c r="AM63" s="428"/>
      <c r="AN63" s="428"/>
      <c r="AO63" s="428"/>
      <c r="AP63" s="428"/>
      <c r="AQ63" s="428"/>
      <c r="AR63" s="428"/>
      <c r="AS63" s="428"/>
      <c r="AT63" s="428"/>
      <c r="AU63" s="428"/>
      <c r="AV63" s="428"/>
      <c r="AW63" s="428"/>
      <c r="AX63" s="428"/>
    </row>
    <row r="64" spans="1:50" ht="12.75" x14ac:dyDescent="0.2">
      <c r="B64" s="28"/>
      <c r="C64" s="28"/>
      <c r="D64" s="28"/>
      <c r="E64" s="28"/>
      <c r="F64" s="28"/>
      <c r="G64" s="28"/>
      <c r="H64" s="28"/>
      <c r="I64" s="28"/>
      <c r="J64" s="28"/>
      <c r="K64" s="28"/>
      <c r="L64" s="28"/>
      <c r="M64" s="28"/>
      <c r="N64" s="28"/>
      <c r="O64" s="28"/>
      <c r="P64" s="28"/>
      <c r="Q64" s="28"/>
      <c r="R64" s="28"/>
      <c r="S64" s="28"/>
      <c r="T64" s="28"/>
      <c r="V64" s="28"/>
      <c r="W64" s="28"/>
      <c r="X64" s="28"/>
      <c r="Y64" s="28"/>
      <c r="Z64" s="28"/>
      <c r="AA64" s="28"/>
      <c r="AB64" s="28"/>
      <c r="AC64" s="28"/>
      <c r="AD64" s="28"/>
      <c r="AE64" s="28"/>
      <c r="AF64" s="28"/>
      <c r="AG64" s="43" t="s">
        <v>699</v>
      </c>
      <c r="AH64" s="28"/>
    </row>
    <row r="65" spans="1:101" ht="24.75" hidden="1" customHeight="1" x14ac:dyDescent="0.2"/>
    <row r="66" spans="1:101" ht="12.75" hidden="1" x14ac:dyDescent="0.2"/>
    <row r="67" spans="1:101" ht="12.75" hidden="1" x14ac:dyDescent="0.2"/>
    <row r="68" spans="1:101" ht="12.75" hidden="1" x14ac:dyDescent="0.2"/>
    <row r="69" spans="1:101" ht="12.75" hidden="1" x14ac:dyDescent="0.2"/>
    <row r="70" spans="1:101" s="369" customFormat="1" ht="12.75" hidden="1" x14ac:dyDescent="0.2">
      <c r="A70" s="62"/>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28"/>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09"/>
      <c r="BR70" s="209"/>
      <c r="BS70" s="209"/>
      <c r="BT70" s="209"/>
      <c r="BU70" s="209"/>
      <c r="BV70" s="209"/>
      <c r="BW70" s="209"/>
      <c r="BX70" s="209"/>
      <c r="BY70" s="209"/>
      <c r="BZ70" s="209"/>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row>
    <row r="71" spans="1:101" s="369" customFormat="1" ht="12.75" hidden="1" x14ac:dyDescent="0.2">
      <c r="A71" s="62"/>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28"/>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row>
    <row r="72" spans="1:101" s="369" customFormat="1" ht="12.75" hidden="1" x14ac:dyDescent="0.2">
      <c r="A72" s="62"/>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28"/>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209"/>
      <c r="BW72" s="209"/>
      <c r="BX72" s="209"/>
      <c r="BY72" s="209"/>
      <c r="BZ72" s="209"/>
      <c r="CA72" s="209"/>
      <c r="CB72" s="209"/>
      <c r="CC72" s="209"/>
      <c r="CD72" s="209"/>
      <c r="CE72" s="209"/>
      <c r="CF72" s="209"/>
      <c r="CG72" s="209"/>
      <c r="CH72" s="209"/>
      <c r="CI72" s="209"/>
      <c r="CJ72" s="209"/>
      <c r="CK72" s="209"/>
      <c r="CL72" s="209"/>
      <c r="CM72" s="209"/>
      <c r="CN72" s="209"/>
      <c r="CO72" s="209"/>
      <c r="CP72" s="209"/>
      <c r="CQ72" s="209"/>
      <c r="CR72" s="209"/>
      <c r="CS72" s="209"/>
      <c r="CT72" s="209"/>
      <c r="CU72" s="209"/>
      <c r="CV72" s="209"/>
      <c r="CW72" s="209"/>
    </row>
    <row r="73" spans="1:101" s="369" customFormat="1" ht="12.75" hidden="1" x14ac:dyDescent="0.2">
      <c r="A73" s="62"/>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28"/>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369" customFormat="1" ht="12.75" hidden="1" x14ac:dyDescent="0.2">
      <c r="A74" s="62"/>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28"/>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row>
    <row r="75" spans="1:101" s="369" customFormat="1" ht="12.75" hidden="1" x14ac:dyDescent="0.2">
      <c r="A75" s="62"/>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28"/>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row>
    <row r="76" spans="1:101" s="369" customFormat="1" ht="15.95" hidden="1" customHeight="1" x14ac:dyDescent="0.2">
      <c r="A76" s="62"/>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28"/>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209"/>
      <c r="CS76" s="209"/>
      <c r="CT76" s="209"/>
      <c r="CU76" s="209"/>
      <c r="CV76" s="209"/>
      <c r="CW76" s="209"/>
    </row>
    <row r="77" spans="1:101" s="369" customFormat="1" ht="15.75" hidden="1" customHeight="1" x14ac:dyDescent="0.2">
      <c r="A77" s="62"/>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28"/>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369" customFormat="1" ht="15.75" hidden="1" customHeight="1" x14ac:dyDescent="0.2">
      <c r="A78" s="62"/>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28"/>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ht="12.75" hidden="1" x14ac:dyDescent="0.2"/>
    <row r="80" spans="1:101" ht="12.75" hidden="1" x14ac:dyDescent="0.2"/>
    <row r="81" spans="2:35" s="62" customFormat="1" ht="12.75" hidden="1" x14ac:dyDescent="0.2">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28"/>
    </row>
    <row r="82" spans="2:35" s="62" customFormat="1" ht="20.25" hidden="1" customHeight="1" x14ac:dyDescent="0.2">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28"/>
    </row>
    <row r="83" spans="2:35" s="62" customFormat="1" ht="12.75" hidden="1" x14ac:dyDescent="0.2">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28"/>
    </row>
    <row r="84" spans="2:35" s="62" customFormat="1" ht="12.75" hidden="1" x14ac:dyDescent="0.2">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28"/>
    </row>
    <row r="85" spans="2:35" s="62" customFormat="1" ht="20.85" hidden="1" customHeight="1" x14ac:dyDescent="0.2">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28"/>
    </row>
    <row r="86" spans="2:35" s="62" customFormat="1" ht="12.75" hidden="1" x14ac:dyDescent="0.2">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28"/>
    </row>
    <row r="87" spans="2:35" s="62" customFormat="1" ht="12.75" hidden="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28"/>
    </row>
    <row r="88" spans="2:35" s="62" customFormat="1" ht="12.75" hidden="1" x14ac:dyDescent="0.2">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28"/>
    </row>
    <row r="89" spans="2:35" s="62" customFormat="1" ht="20.100000000000001" hidden="1" customHeight="1" x14ac:dyDescent="0.2">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28"/>
    </row>
    <row r="90" spans="2:35" s="62" customFormat="1" ht="12.75" hidden="1"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28"/>
    </row>
    <row r="91" spans="2:35" s="62" customFormat="1" ht="12.75" hidden="1" customHeight="1" x14ac:dyDescent="0.2">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28"/>
    </row>
    <row r="92" spans="2:35" s="62" customFormat="1" ht="12.75" hidden="1" customHeight="1" x14ac:dyDescent="0.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28"/>
    </row>
    <row r="93" spans="2:35" s="62" customFormat="1" ht="12.75" hidden="1" customHeight="1" x14ac:dyDescent="0.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28"/>
    </row>
    <row r="94" spans="2:35" s="62" customFormat="1" ht="12.75" hidden="1" customHeight="1" x14ac:dyDescent="0.2">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28"/>
    </row>
    <row r="95" spans="2:35" s="62" customFormat="1" ht="12.75" hidden="1" customHeight="1" x14ac:dyDescent="0.2">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28"/>
    </row>
    <row r="96" spans="2:35" s="62" customFormat="1" ht="12.75" hidden="1" customHeight="1" x14ac:dyDescent="0.2">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28"/>
    </row>
    <row r="97" spans="2:35" s="62" customFormat="1" ht="12.75" hidden="1" customHeight="1" x14ac:dyDescent="0.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28"/>
    </row>
    <row r="98" spans="2:35" s="62" customFormat="1" ht="12.75" hidden="1" customHeight="1" x14ac:dyDescent="0.2">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28"/>
    </row>
    <row r="99" spans="2:35" s="62" customFormat="1" ht="12.75" hidden="1" customHeight="1" x14ac:dyDescent="0.2">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28"/>
    </row>
    <row r="100" spans="2:35" s="62" customFormat="1" ht="12.75" hidden="1" customHeight="1" x14ac:dyDescent="0.2">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28"/>
    </row>
    <row r="101" spans="2:35" s="62" customFormat="1" ht="12.75" hidden="1" customHeight="1" x14ac:dyDescent="0.2">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28"/>
    </row>
    <row r="102" spans="2:35" s="62" customFormat="1" ht="12.75" hidden="1" customHeight="1" x14ac:dyDescent="0.2">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28"/>
    </row>
    <row r="103" spans="2:35" s="62" customFormat="1" ht="12.75" hidden="1" customHeight="1" x14ac:dyDescent="0.2">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28"/>
    </row>
    <row r="104" spans="2:35" s="62" customFormat="1" ht="12.75" hidden="1" customHeight="1" x14ac:dyDescent="0.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28"/>
    </row>
    <row r="105" spans="2:35" s="62" customFormat="1" ht="12.75" hidden="1" customHeight="1" x14ac:dyDescent="0.2">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28"/>
    </row>
    <row r="106" spans="2:35" s="62" customFormat="1" ht="12.75" hidden="1" customHeight="1" x14ac:dyDescent="0.2">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28"/>
    </row>
    <row r="107" spans="2:35" s="62" customFormat="1" ht="12.75" hidden="1" customHeight="1" x14ac:dyDescent="0.2">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28"/>
    </row>
    <row r="108" spans="2:35" s="62" customFormat="1" ht="12.75" hidden="1" customHeight="1" x14ac:dyDescent="0.2">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28"/>
    </row>
    <row r="109" spans="2:35" s="62" customFormat="1" ht="12.75" hidden="1" customHeight="1" x14ac:dyDescent="0.2">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28"/>
    </row>
    <row r="110" spans="2:35" s="62" customFormat="1" ht="12.75" hidden="1" customHeight="1" x14ac:dyDescent="0.2">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28"/>
    </row>
    <row r="111" spans="2:35" s="62" customFormat="1" ht="12.75" hidden="1" customHeight="1" x14ac:dyDescent="0.2">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28"/>
    </row>
    <row r="112" spans="2:35" s="62" customFormat="1" ht="12.75" hidden="1" customHeight="1" x14ac:dyDescent="0.2">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28"/>
    </row>
    <row r="113" spans="2:35" s="62" customFormat="1" ht="12.75" hidden="1" customHeight="1" x14ac:dyDescent="0.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28"/>
    </row>
    <row r="114" spans="2:35" s="62" customFormat="1" ht="12.75" hidden="1" customHeight="1" x14ac:dyDescent="0.2">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28"/>
    </row>
    <row r="115" spans="2:35" s="62" customFormat="1" ht="12.75" hidden="1" customHeight="1" x14ac:dyDescent="0.2">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28"/>
    </row>
    <row r="116" spans="2:35" s="62" customFormat="1" ht="12.75" hidden="1" customHeight="1" x14ac:dyDescent="0.2">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28"/>
    </row>
    <row r="117" spans="2:35" s="62" customFormat="1" ht="12.75" hidden="1" customHeight="1" x14ac:dyDescent="0.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28"/>
    </row>
    <row r="118" spans="2:35" s="62" customFormat="1" ht="12.75" hidden="1" customHeight="1" x14ac:dyDescent="0.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28"/>
    </row>
    <row r="119" spans="2:35" s="62" customFormat="1" ht="12.75" hidden="1" customHeight="1" x14ac:dyDescent="0.2">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28"/>
    </row>
    <row r="120" spans="2:35" s="62" customFormat="1" ht="12.75" hidden="1"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28"/>
    </row>
    <row r="121" spans="2:35" s="62" customFormat="1" ht="12.75" hidden="1" customHeight="1" x14ac:dyDescent="0.2">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28"/>
    </row>
    <row r="122" spans="2:35" s="62" customFormat="1" ht="12.75" hidden="1" customHeight="1" x14ac:dyDescent="0.2">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28"/>
    </row>
    <row r="123" spans="2:35" s="62" customFormat="1" ht="12.75" hidden="1" customHeight="1" x14ac:dyDescent="0.2">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28"/>
    </row>
    <row r="124" spans="2:35" s="62" customFormat="1" ht="12.75" hidden="1" customHeight="1" x14ac:dyDescent="0.2">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28"/>
    </row>
    <row r="125" spans="2:35" s="62" customFormat="1" ht="12.75" hidden="1" customHeight="1" x14ac:dyDescent="0.2">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28"/>
    </row>
    <row r="126" spans="2:35" s="62" customFormat="1" ht="12.75" hidden="1" customHeight="1" x14ac:dyDescent="0.2">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28"/>
    </row>
    <row r="127" spans="2:35" s="62" customFormat="1" ht="12.75" hidden="1" customHeight="1" x14ac:dyDescent="0.2">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28"/>
    </row>
    <row r="128" spans="2:35" s="62" customFormat="1" ht="12.75" hidden="1" customHeight="1" x14ac:dyDescent="0.2">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28"/>
    </row>
    <row r="129" spans="2:35" s="62" customFormat="1" ht="12.75" hidden="1" customHeight="1" x14ac:dyDescent="0.2">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28"/>
    </row>
    <row r="130" spans="2:35" s="62" customFormat="1" ht="12.75" hidden="1" customHeight="1" x14ac:dyDescent="0.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28"/>
    </row>
    <row r="131" spans="2:35" s="62" customFormat="1" ht="12.75" hidden="1" customHeight="1" x14ac:dyDescent="0.2">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28"/>
    </row>
    <row r="132" spans="2:35" s="62" customFormat="1" ht="12.75" hidden="1" customHeight="1" x14ac:dyDescent="0.2">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8"/>
    </row>
    <row r="133" spans="2:35" s="62" customFormat="1" ht="12.75" hidden="1" customHeight="1" x14ac:dyDescent="0.2">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28"/>
    </row>
    <row r="134" spans="2:35" s="62" customFormat="1" ht="12.75" hidden="1" customHeight="1" x14ac:dyDescent="0.2">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28"/>
    </row>
    <row r="135" spans="2:35" s="62" customFormat="1" ht="12.75" hidden="1" customHeight="1" x14ac:dyDescent="0.2">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28"/>
    </row>
    <row r="136" spans="2:35" s="62" customFormat="1" ht="12.75" hidden="1" customHeight="1" x14ac:dyDescent="0.2">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28"/>
    </row>
    <row r="137" spans="2:35" s="62" customFormat="1" ht="12.75" hidden="1" customHeight="1" x14ac:dyDescent="0.2">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28"/>
    </row>
    <row r="138" spans="2:35" s="62" customFormat="1" ht="12.75" hidden="1" customHeight="1" x14ac:dyDescent="0.2">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28"/>
    </row>
    <row r="139" spans="2:35" s="62" customFormat="1" ht="12.75" hidden="1" customHeight="1" x14ac:dyDescent="0.2">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28"/>
    </row>
    <row r="140" spans="2:35" s="62" customFormat="1" ht="12.75" hidden="1" customHeight="1" x14ac:dyDescent="0.2">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28"/>
    </row>
    <row r="141" spans="2:35" s="62" customFormat="1" ht="12.75" hidden="1" customHeight="1" x14ac:dyDescent="0.2">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28"/>
    </row>
    <row r="142" spans="2:35" s="62" customFormat="1" ht="12.75" hidden="1" customHeight="1" x14ac:dyDescent="0.2">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28"/>
    </row>
    <row r="143" spans="2:35" s="62" customFormat="1" ht="12.75" hidden="1" customHeight="1" x14ac:dyDescent="0.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28"/>
    </row>
    <row r="144" spans="2:35" s="62" customFormat="1" ht="12.75" hidden="1" customHeight="1" x14ac:dyDescent="0.2">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28"/>
    </row>
    <row r="145" spans="2:35" s="62" customFormat="1" ht="12.75" hidden="1" customHeight="1" x14ac:dyDescent="0.2">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28"/>
    </row>
    <row r="146" spans="2:35" s="62" customFormat="1" ht="12.75" hidden="1" customHeight="1" x14ac:dyDescent="0.2">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28"/>
    </row>
    <row r="147" spans="2:35" s="62" customFormat="1" ht="12.75" hidden="1" customHeight="1" x14ac:dyDescent="0.2">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28"/>
    </row>
    <row r="148" spans="2:35" s="62" customFormat="1" ht="12.75" hidden="1" customHeight="1" x14ac:dyDescent="0.2">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28"/>
    </row>
    <row r="149" spans="2:35" s="62" customFormat="1" ht="12.75" hidden="1" customHeight="1" x14ac:dyDescent="0.2">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28"/>
    </row>
    <row r="150" spans="2:35" s="62" customFormat="1" ht="12.75" hidden="1" customHeight="1" x14ac:dyDescent="0.2">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28"/>
    </row>
    <row r="151" spans="2:35" s="62" customFormat="1" ht="12.75" hidden="1" customHeight="1" x14ac:dyDescent="0.2">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28"/>
    </row>
    <row r="152" spans="2:35" s="62" customFormat="1" ht="12.75" hidden="1" customHeight="1" x14ac:dyDescent="0.2">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28"/>
    </row>
    <row r="153" spans="2:35" s="62" customFormat="1" ht="12.75" hidden="1" customHeight="1" x14ac:dyDescent="0.2">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28"/>
    </row>
    <row r="154" spans="2:35" s="62" customFormat="1" ht="12.75" hidden="1" customHeight="1" x14ac:dyDescent="0.2">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28"/>
    </row>
    <row r="155" spans="2:35" s="62" customFormat="1" ht="12.75" hidden="1" customHeight="1" x14ac:dyDescent="0.2">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28"/>
    </row>
    <row r="156" spans="2:35" s="62" customFormat="1" ht="12.75" hidden="1" customHeight="1" x14ac:dyDescent="0.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28"/>
    </row>
    <row r="157" spans="2:35" s="62" customFormat="1" ht="12.75" hidden="1" customHeight="1" x14ac:dyDescent="0.2">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28"/>
    </row>
    <row r="158" spans="2:35" s="62" customFormat="1" ht="12.75" hidden="1"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28"/>
    </row>
    <row r="159" spans="2:35" s="62" customFormat="1" ht="12.75" hidden="1" customHeight="1" x14ac:dyDescent="0.2">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28"/>
    </row>
    <row r="160" spans="2:35" s="62" customFormat="1" ht="12.75" hidden="1" customHeight="1" x14ac:dyDescent="0.2">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28"/>
    </row>
    <row r="161" spans="2:35" s="62" customFormat="1" ht="12.75" hidden="1" customHeight="1" x14ac:dyDescent="0.2">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28"/>
    </row>
    <row r="162" spans="2:35" s="62" customFormat="1" ht="12.75" hidden="1" customHeight="1" x14ac:dyDescent="0.2">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28"/>
    </row>
    <row r="163" spans="2:35" s="62" customFormat="1" ht="12.75" hidden="1" customHeight="1" x14ac:dyDescent="0.2">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28"/>
    </row>
    <row r="164" spans="2:35" s="62" customFormat="1" ht="12.75" hidden="1" customHeight="1" x14ac:dyDescent="0.2">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28"/>
    </row>
    <row r="165" spans="2:35" s="62" customFormat="1" ht="12.75" hidden="1" customHeight="1" x14ac:dyDescent="0.2">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28"/>
    </row>
    <row r="166" spans="2:35" s="62" customFormat="1" ht="12.75" hidden="1" customHeight="1" x14ac:dyDescent="0.2">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28"/>
    </row>
    <row r="167" spans="2:35" s="62" customFormat="1" ht="12.75" hidden="1" customHeight="1" x14ac:dyDescent="0.2">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28"/>
    </row>
    <row r="168" spans="2:35" s="62" customFormat="1" ht="12.75" hidden="1" customHeight="1" x14ac:dyDescent="0.2">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28"/>
    </row>
    <row r="169" spans="2:35" s="62" customFormat="1" ht="12.75" hidden="1" customHeight="1" x14ac:dyDescent="0.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28"/>
    </row>
    <row r="170" spans="2:35" s="62" customFormat="1" ht="12.75" hidden="1" customHeight="1" x14ac:dyDescent="0.2">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28"/>
    </row>
    <row r="171" spans="2:35" s="62" customFormat="1" ht="12.75" hidden="1" customHeight="1" x14ac:dyDescent="0.2">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28"/>
    </row>
    <row r="172" spans="2:35" s="62" customFormat="1" ht="12.75" hidden="1" customHeight="1" x14ac:dyDescent="0.2">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28"/>
    </row>
    <row r="173" spans="2:35" s="62" customFormat="1" ht="12.75" hidden="1" customHeight="1" x14ac:dyDescent="0.2">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28"/>
    </row>
    <row r="174" spans="2:35" s="62" customFormat="1" ht="12.75" hidden="1" customHeight="1" x14ac:dyDescent="0.2">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28"/>
    </row>
    <row r="175" spans="2:35" s="62" customFormat="1" ht="12.75" hidden="1" customHeight="1" x14ac:dyDescent="0.2">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28"/>
    </row>
    <row r="176" spans="2:35" s="62" customFormat="1" ht="12.75" hidden="1" customHeight="1" x14ac:dyDescent="0.2">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28"/>
    </row>
    <row r="177" spans="2:35" s="62" customFormat="1" ht="12.75" hidden="1" customHeight="1" x14ac:dyDescent="0.2">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28"/>
    </row>
    <row r="178" spans="2:35" s="62" customFormat="1" ht="12.75" hidden="1" customHeight="1" x14ac:dyDescent="0.2">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28"/>
    </row>
    <row r="179" spans="2:35" s="62" customFormat="1" ht="12.75" hidden="1" customHeight="1" x14ac:dyDescent="0.2">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28"/>
    </row>
    <row r="180" spans="2:35" s="62" customFormat="1" ht="12.75" hidden="1" customHeight="1" x14ac:dyDescent="0.2">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28"/>
    </row>
    <row r="181" spans="2:35" s="62" customFormat="1" ht="12.75" hidden="1" customHeight="1" x14ac:dyDescent="0.2">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28"/>
    </row>
    <row r="182" spans="2:35" s="62" customFormat="1" ht="12.75" hidden="1" customHeight="1" x14ac:dyDescent="0.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28"/>
    </row>
    <row r="183" spans="2:35" s="62" customFormat="1" ht="12.75" hidden="1" customHeight="1" x14ac:dyDescent="0.2">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28"/>
    </row>
    <row r="184" spans="2:35" s="62" customFormat="1" ht="12.75" hidden="1" customHeight="1" x14ac:dyDescent="0.2">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28"/>
    </row>
    <row r="185" spans="2:35" s="62" customFormat="1" ht="12.75" hidden="1" customHeight="1" x14ac:dyDescent="0.2">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28"/>
    </row>
    <row r="186" spans="2:35" s="62" customFormat="1" ht="12.75" hidden="1" customHeight="1" x14ac:dyDescent="0.2">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28"/>
    </row>
    <row r="187" spans="2:35" s="62" customFormat="1" ht="12.75" hidden="1" customHeight="1" x14ac:dyDescent="0.2">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28"/>
    </row>
    <row r="188" spans="2:35" s="62" customFormat="1" ht="12.75" hidden="1" customHeight="1" x14ac:dyDescent="0.2">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28"/>
    </row>
    <row r="189" spans="2:35" s="62" customFormat="1" ht="12.75" hidden="1" customHeight="1" x14ac:dyDescent="0.2">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28"/>
    </row>
    <row r="190" spans="2:35" s="62" customFormat="1" ht="12.75" hidden="1" customHeight="1" x14ac:dyDescent="0.2">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28"/>
    </row>
    <row r="191" spans="2:35" s="62" customFormat="1" ht="12.75" hidden="1" customHeight="1" x14ac:dyDescent="0.2">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28"/>
    </row>
    <row r="192" spans="2:35" s="62" customFormat="1" ht="12.75" hidden="1" customHeight="1" x14ac:dyDescent="0.2">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28"/>
    </row>
    <row r="193" spans="2:35" s="62" customFormat="1" ht="12.75" hidden="1" customHeight="1" x14ac:dyDescent="0.2">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28"/>
    </row>
    <row r="194" spans="2:35" s="62" customFormat="1" ht="12.75" hidden="1" customHeight="1" x14ac:dyDescent="0.2">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28"/>
    </row>
    <row r="195" spans="2:35" s="62" customFormat="1" ht="12.75" hidden="1" customHeight="1" x14ac:dyDescent="0.2">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28"/>
    </row>
    <row r="196" spans="2:35" s="62" customFormat="1" ht="12.75" hidden="1" customHeight="1" x14ac:dyDescent="0.2">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28"/>
    </row>
    <row r="197" spans="2:35" s="62" customFormat="1" ht="12.75" hidden="1" customHeight="1" x14ac:dyDescent="0.2">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28"/>
    </row>
    <row r="198" spans="2:35" s="62" customFormat="1" ht="12.75" hidden="1" customHeight="1" x14ac:dyDescent="0.2">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28"/>
    </row>
    <row r="199" spans="2:35" s="62" customFormat="1" ht="12.75" hidden="1" customHeight="1" x14ac:dyDescent="0.2">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28"/>
    </row>
    <row r="200" spans="2:35" s="62" customFormat="1" ht="12.75" hidden="1" customHeight="1" x14ac:dyDescent="0.2">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28"/>
    </row>
    <row r="201" spans="2:35" s="62" customFormat="1" ht="12.75" hidden="1" customHeight="1" x14ac:dyDescent="0.2">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28"/>
    </row>
    <row r="202" spans="2:35" s="62" customFormat="1" ht="12.75" hidden="1" customHeight="1" x14ac:dyDescent="0.2">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28"/>
    </row>
    <row r="203" spans="2:35" s="62" customFormat="1" ht="12.75" hidden="1" customHeight="1" x14ac:dyDescent="0.2">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28"/>
    </row>
    <row r="204" spans="2:35" s="62" customFormat="1" ht="12.75" hidden="1" customHeight="1" x14ac:dyDescent="0.2">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28"/>
    </row>
  </sheetData>
  <sheetProtection algorithmName="SHA-512" hashValue="i5sKEkmkBTbssXpcPUq2nxAIBDI+ag5fEk9shaXNkuG50ALUVL6MLdSA4q+qwT1x08PJElM3VaKRxbZvGKjQfw==" saltValue="0dswxfyGE7PkxdSjMYVKXQ==" spinCount="100000" sheet="1" objects="1" scenarios="1"/>
  <mergeCells count="132">
    <mergeCell ref="B2:F5"/>
    <mergeCell ref="G2:O5"/>
    <mergeCell ref="P2:Y5"/>
    <mergeCell ref="Z2:AH5"/>
    <mergeCell ref="B7:E7"/>
    <mergeCell ref="F7:P7"/>
    <mergeCell ref="Q7:T7"/>
    <mergeCell ref="U7:Z7"/>
    <mergeCell ref="AE7:AH7"/>
    <mergeCell ref="B9:D9"/>
    <mergeCell ref="F9:AH9"/>
    <mergeCell ref="W14:X14"/>
    <mergeCell ref="AA14:AB14"/>
    <mergeCell ref="F16:G16"/>
    <mergeCell ref="H16:I16"/>
    <mergeCell ref="J16:K16"/>
    <mergeCell ref="L16:M16"/>
    <mergeCell ref="N16:O16"/>
    <mergeCell ref="P16:Q16"/>
    <mergeCell ref="AD16:AE16"/>
    <mergeCell ref="R16:S16"/>
    <mergeCell ref="T16:U16"/>
    <mergeCell ref="V16:W16"/>
    <mergeCell ref="X16:Y16"/>
    <mergeCell ref="Z16:AA16"/>
    <mergeCell ref="AB16:AC16"/>
    <mergeCell ref="X17:Y17"/>
    <mergeCell ref="Z17:AA17"/>
    <mergeCell ref="AB17:AC17"/>
    <mergeCell ref="AD17:AE17"/>
    <mergeCell ref="AF17:AH17"/>
    <mergeCell ref="F18:G18"/>
    <mergeCell ref="H18:I18"/>
    <mergeCell ref="J18:K18"/>
    <mergeCell ref="L18:M18"/>
    <mergeCell ref="N18:O18"/>
    <mergeCell ref="AB18:AC18"/>
    <mergeCell ref="AD18:AE18"/>
    <mergeCell ref="AF18:AH18"/>
    <mergeCell ref="F17:G17"/>
    <mergeCell ref="H17:I17"/>
    <mergeCell ref="J17:K17"/>
    <mergeCell ref="L17:M17"/>
    <mergeCell ref="N17:O17"/>
    <mergeCell ref="P17:Q17"/>
    <mergeCell ref="R17:S17"/>
    <mergeCell ref="T17:U17"/>
    <mergeCell ref="V17:W17"/>
    <mergeCell ref="AD19:AE19"/>
    <mergeCell ref="AF19:AH19"/>
    <mergeCell ref="AU25:AU27"/>
    <mergeCell ref="P18:Q18"/>
    <mergeCell ref="R18:S18"/>
    <mergeCell ref="T18:U18"/>
    <mergeCell ref="V18:W18"/>
    <mergeCell ref="X18:Y18"/>
    <mergeCell ref="Z18:AA18"/>
    <mergeCell ref="N34:O34"/>
    <mergeCell ref="P34:Q34"/>
    <mergeCell ref="R34:S34"/>
    <mergeCell ref="AV25:AV27"/>
    <mergeCell ref="O26:AF26"/>
    <mergeCell ref="O28:AF28"/>
    <mergeCell ref="AU28:AU34"/>
    <mergeCell ref="AV28:AV34"/>
    <mergeCell ref="AQ29:AQ30"/>
    <mergeCell ref="AR29:AR30"/>
    <mergeCell ref="O30:AF30"/>
    <mergeCell ref="AQ31:AQ32"/>
    <mergeCell ref="AR31:AR32"/>
    <mergeCell ref="T34:U34"/>
    <mergeCell ref="V34:W34"/>
    <mergeCell ref="X34:Y34"/>
    <mergeCell ref="Z34:AA34"/>
    <mergeCell ref="AB34:AC34"/>
    <mergeCell ref="AD34:AE34"/>
    <mergeCell ref="V32:W32"/>
    <mergeCell ref="AQ33:AQ34"/>
    <mergeCell ref="AR33:AR34"/>
    <mergeCell ref="T35:U35"/>
    <mergeCell ref="V35:W35"/>
    <mergeCell ref="X35:Y35"/>
    <mergeCell ref="Z35:AA35"/>
    <mergeCell ref="AB35:AC35"/>
    <mergeCell ref="F35:G35"/>
    <mergeCell ref="H35:I35"/>
    <mergeCell ref="J35:K35"/>
    <mergeCell ref="L35:M35"/>
    <mergeCell ref="N35:O35"/>
    <mergeCell ref="P35:Q35"/>
    <mergeCell ref="F34:G34"/>
    <mergeCell ref="H34:I34"/>
    <mergeCell ref="J34:K34"/>
    <mergeCell ref="L34:M34"/>
    <mergeCell ref="AU48:AU50"/>
    <mergeCell ref="AV48:AV50"/>
    <mergeCell ref="AU51:AU57"/>
    <mergeCell ref="AV51:AV57"/>
    <mergeCell ref="AQ52:AQ53"/>
    <mergeCell ref="AR52:AR53"/>
    <mergeCell ref="AQ54:AQ55"/>
    <mergeCell ref="AR54:AR55"/>
    <mergeCell ref="B56:G56"/>
    <mergeCell ref="H56:T57"/>
    <mergeCell ref="U56:AG57"/>
    <mergeCell ref="AQ56:AQ57"/>
    <mergeCell ref="AR56:AR57"/>
    <mergeCell ref="AD35:AE35"/>
    <mergeCell ref="AF35:AH35"/>
    <mergeCell ref="AD36:AE36"/>
    <mergeCell ref="C38:AA39"/>
    <mergeCell ref="AF39:AG39"/>
    <mergeCell ref="AF41:AG41"/>
    <mergeCell ref="R35:S35"/>
    <mergeCell ref="H58:T58"/>
    <mergeCell ref="U58:AG58"/>
    <mergeCell ref="H59:T59"/>
    <mergeCell ref="U59:AG59"/>
    <mergeCell ref="B43:AH45"/>
    <mergeCell ref="H62:T62"/>
    <mergeCell ref="U62:AG62"/>
    <mergeCell ref="H63:T63"/>
    <mergeCell ref="U63:AG63"/>
    <mergeCell ref="B58:G59"/>
    <mergeCell ref="B60:G60"/>
    <mergeCell ref="B61:G61"/>
    <mergeCell ref="B62:G63"/>
    <mergeCell ref="H60:T60"/>
    <mergeCell ref="U60:AG60"/>
    <mergeCell ref="H61:T61"/>
    <mergeCell ref="U61:AG61"/>
    <mergeCell ref="B46:AH47"/>
  </mergeCells>
  <conditionalFormatting sqref="A11:AI11 AI12:AI37 AN14:AN22 AN39:AN45">
    <cfRule type="expression" dxfId="86" priority="9">
      <formula>#REF!=FALSE</formula>
    </cfRule>
  </conditionalFormatting>
  <conditionalFormatting sqref="B46 AI46:AK46">
    <cfRule type="expression" dxfId="85" priority="1">
      <formula>$AN$104="oui"</formula>
    </cfRule>
  </conditionalFormatting>
  <conditionalFormatting sqref="B43:AH45">
    <cfRule type="expression" dxfId="84" priority="10">
      <formula>$B$43="Es wird keine finanzielle Beteiligung angegeben"</formula>
    </cfRule>
    <cfRule type="expression" dxfId="83" priority="11">
      <formula>$AE$39&gt;$AE$41</formula>
    </cfRule>
    <cfRule type="expression" dxfId="82" priority="12">
      <formula>$AE$41&gt;=$AE$39</formula>
    </cfRule>
  </conditionalFormatting>
  <conditionalFormatting sqref="AE41:AG41">
    <cfRule type="expression" dxfId="77" priority="3">
      <formula>$AE$41&gt;$V$32</formula>
    </cfRule>
  </conditionalFormatting>
  <conditionalFormatting sqref="AG42">
    <cfRule type="expression" dxfId="76" priority="2">
      <formula>$AE$41&lt;=$V$32</formula>
    </cfRule>
  </conditionalFormatting>
  <conditionalFormatting sqref="BG11:BG52">
    <cfRule type="cellIs" dxfId="75" priority="8" operator="equal">
      <formula>2</formula>
    </cfRule>
  </conditionalFormatting>
  <pageMargins left="0.7" right="0.7"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47625</xdr:colOff>
                    <xdr:row>49</xdr:row>
                    <xdr:rowOff>133350</xdr:rowOff>
                  </from>
                  <to>
                    <xdr:col>2</xdr:col>
                    <xdr:colOff>76200</xdr:colOff>
                    <xdr:row>50</xdr:row>
                    <xdr:rowOff>180975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47625</xdr:colOff>
                    <xdr:row>50</xdr:row>
                    <xdr:rowOff>190500</xdr:rowOff>
                  </from>
                  <to>
                    <xdr:col>2</xdr:col>
                    <xdr:colOff>76200</xdr:colOff>
                    <xdr:row>51</xdr:row>
                    <xdr:rowOff>161925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47625</xdr:colOff>
                    <xdr:row>51</xdr:row>
                    <xdr:rowOff>209550</xdr:rowOff>
                  </from>
                  <to>
                    <xdr:col>2</xdr:col>
                    <xdr:colOff>76200</xdr:colOff>
                    <xdr:row>53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BB7A2D41-0040-4EC5-BC4B-CFD459BD033F}">
            <xm:f>Formulaire_Fr!$O$130&lt;&gt;0</xm:f>
            <x14:dxf>
              <font>
                <color theme="0"/>
              </font>
              <fill>
                <patternFill>
                  <bgColor theme="0"/>
                </patternFill>
              </fill>
              <border>
                <vertical/>
                <horizontal/>
              </border>
            </x14:dxf>
          </x14:cfRule>
          <xm:sqref>F17:AH17</xm:sqref>
        </x14:conditionalFormatting>
        <x14:conditionalFormatting xmlns:xm="http://schemas.microsoft.com/office/excel/2006/main">
          <x14:cfRule type="expression" priority="4" id="{F831E1EF-31AE-4184-82CD-B22159266227}">
            <xm:f>Formulaire_Fr!$O$130=0</xm:f>
            <x14:dxf>
              <font>
                <color theme="0"/>
              </font>
              <fill>
                <patternFill>
                  <bgColor theme="0"/>
                </patternFill>
              </fill>
              <border>
                <vertical/>
                <horizontal/>
              </border>
            </x14:dxf>
          </x14:cfRule>
          <xm:sqref>F18:AH18</xm:sqref>
        </x14:conditionalFormatting>
        <x14:conditionalFormatting xmlns:xm="http://schemas.microsoft.com/office/excel/2006/main">
          <x14:cfRule type="expression" priority="7" id="{A801506A-F00F-470D-8BE2-AF52776B1138}">
            <xm:f>Formulaire_Fr!$O$130=0</xm:f>
            <x14:dxf>
              <font>
                <color theme="0"/>
              </font>
              <fill>
                <patternFill>
                  <bgColor theme="0"/>
                </patternFill>
              </fill>
              <border>
                <vertical/>
                <horizontal/>
              </border>
            </x14:dxf>
          </x14:cfRule>
          <xm:sqref>W14:Z14</xm:sqref>
        </x14:conditionalFormatting>
        <x14:conditionalFormatting xmlns:xm="http://schemas.microsoft.com/office/excel/2006/main">
          <x14:cfRule type="expression" priority="6" id="{F075CD37-D008-46AA-BEB4-9FF0800C68C5}">
            <xm:f>Formulaire_Fr!$O$130&lt;&gt;0</xm:f>
            <x14:dxf>
              <font>
                <color theme="0"/>
              </font>
              <fill>
                <patternFill>
                  <bgColor theme="0"/>
                </patternFill>
              </fill>
              <border>
                <vertical/>
                <horizontal/>
              </border>
            </x14:dxf>
          </x14:cfRule>
          <xm:sqref>AA14:AC14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4436-A7F0-43E2-A976-7CC7FC0E9A25}">
  <sheetPr codeName="Feuil11"/>
  <dimension ref="C3:AH9"/>
  <sheetViews>
    <sheetView zoomScale="115" zoomScaleNormal="115" workbookViewId="0">
      <selection activeCell="V20" sqref="V20"/>
    </sheetView>
  </sheetViews>
  <sheetFormatPr baseColWidth="10" defaultRowHeight="12.75" x14ac:dyDescent="0.2"/>
  <cols>
    <col min="1" max="5" width="5.6640625" customWidth="1"/>
    <col min="6" max="29" width="7.5" customWidth="1"/>
    <col min="30" max="34" width="3.33203125" customWidth="1"/>
  </cols>
  <sheetData>
    <row r="3" spans="3:34" ht="14.25" x14ac:dyDescent="0.2">
      <c r="C3" s="270" t="s">
        <v>662</v>
      </c>
    </row>
    <row r="5" spans="3:34" ht="15" x14ac:dyDescent="0.2">
      <c r="C5" s="183"/>
      <c r="D5" s="256"/>
      <c r="E5" s="256"/>
      <c r="F5" s="256"/>
      <c r="G5" s="256"/>
      <c r="H5" s="256"/>
      <c r="I5" s="256"/>
      <c r="J5" s="256"/>
      <c r="K5" s="256"/>
      <c r="L5" s="256"/>
      <c r="M5" s="256"/>
      <c r="N5" s="256"/>
      <c r="O5" s="256"/>
      <c r="P5" s="256"/>
      <c r="Q5" s="256"/>
      <c r="R5" s="256"/>
      <c r="S5" s="256"/>
      <c r="T5" s="256"/>
      <c r="V5" s="761">
        <v>15</v>
      </c>
      <c r="W5" s="761"/>
      <c r="X5" s="233" t="s">
        <v>82</v>
      </c>
      <c r="Y5" s="233"/>
      <c r="Z5" s="28"/>
      <c r="AA5" s="28"/>
      <c r="AB5" s="28"/>
      <c r="AC5" s="28"/>
      <c r="AD5" s="28"/>
      <c r="AE5" s="28"/>
      <c r="AF5" s="28"/>
      <c r="AG5" s="28"/>
      <c r="AH5" s="28"/>
    </row>
    <row r="6" spans="3:34" ht="15" x14ac:dyDescent="0.2">
      <c r="C6" s="77"/>
      <c r="D6" s="77"/>
      <c r="E6" s="77"/>
      <c r="F6" s="77"/>
      <c r="G6" s="77"/>
      <c r="H6" s="77"/>
      <c r="I6" s="245"/>
      <c r="J6" s="77"/>
      <c r="K6" s="253"/>
      <c r="L6" s="253"/>
      <c r="M6" s="77"/>
      <c r="N6" s="77"/>
      <c r="O6" s="253"/>
      <c r="P6" s="253"/>
      <c r="Q6" s="77"/>
      <c r="R6" s="30"/>
      <c r="S6" s="30"/>
      <c r="T6" s="28"/>
      <c r="U6" s="28"/>
      <c r="V6" s="28"/>
      <c r="W6" s="28"/>
      <c r="X6" s="28"/>
      <c r="Y6" s="28"/>
      <c r="Z6" s="28"/>
      <c r="AA6" s="28"/>
      <c r="AB6" s="28"/>
      <c r="AC6" s="28"/>
      <c r="AD6" s="28"/>
      <c r="AE6" s="28"/>
      <c r="AF6" s="28"/>
      <c r="AG6" s="28"/>
      <c r="AH6" s="28"/>
    </row>
    <row r="7" spans="3:34" x14ac:dyDescent="0.2">
      <c r="C7" s="77" t="s">
        <v>225</v>
      </c>
      <c r="D7" s="77"/>
      <c r="E7" s="90"/>
      <c r="F7" s="489" t="s">
        <v>175</v>
      </c>
      <c r="G7" s="489"/>
      <c r="H7" s="489" t="s">
        <v>176</v>
      </c>
      <c r="I7" s="489"/>
      <c r="J7" s="489" t="s">
        <v>177</v>
      </c>
      <c r="K7" s="489"/>
      <c r="L7" s="489" t="s">
        <v>182</v>
      </c>
      <c r="M7" s="489"/>
      <c r="N7" s="489" t="s">
        <v>178</v>
      </c>
      <c r="O7" s="489"/>
      <c r="P7" s="489" t="s">
        <v>179</v>
      </c>
      <c r="Q7" s="489"/>
      <c r="R7" s="489" t="s">
        <v>180</v>
      </c>
      <c r="S7" s="489"/>
      <c r="T7" s="489" t="s">
        <v>181</v>
      </c>
      <c r="U7" s="489"/>
      <c r="V7" s="489" t="s">
        <v>183</v>
      </c>
      <c r="W7" s="489"/>
      <c r="X7" s="489" t="s">
        <v>184</v>
      </c>
      <c r="Y7" s="489"/>
      <c r="Z7" s="489" t="s">
        <v>185</v>
      </c>
      <c r="AA7" s="489"/>
      <c r="AB7" s="489" t="s">
        <v>186</v>
      </c>
      <c r="AC7" s="489"/>
      <c r="AD7" s="489" t="s">
        <v>187</v>
      </c>
      <c r="AE7" s="489"/>
      <c r="AF7" s="28"/>
      <c r="AG7" s="28"/>
      <c r="AH7" s="28"/>
    </row>
    <row r="8" spans="3:34" x14ac:dyDescent="0.2">
      <c r="C8" s="28"/>
      <c r="D8" s="28"/>
      <c r="E8" s="28"/>
      <c r="F8" s="494">
        <v>600</v>
      </c>
      <c r="G8" s="494"/>
      <c r="H8" s="494">
        <v>900</v>
      </c>
      <c r="I8" s="494"/>
      <c r="J8" s="494">
        <v>1200</v>
      </c>
      <c r="K8" s="494"/>
      <c r="L8" s="494">
        <v>2000</v>
      </c>
      <c r="M8" s="494"/>
      <c r="N8" s="494">
        <v>2000</v>
      </c>
      <c r="O8" s="494"/>
      <c r="P8" s="494">
        <v>2500</v>
      </c>
      <c r="Q8" s="494"/>
      <c r="R8" s="494">
        <v>2500</v>
      </c>
      <c r="S8" s="494"/>
      <c r="T8" s="494">
        <v>1200</v>
      </c>
      <c r="U8" s="494"/>
      <c r="V8" s="494">
        <v>900</v>
      </c>
      <c r="W8" s="494"/>
      <c r="X8" s="494">
        <v>600</v>
      </c>
      <c r="Y8" s="494"/>
      <c r="Z8" s="494">
        <v>800</v>
      </c>
      <c r="AA8" s="494"/>
      <c r="AB8" s="494">
        <v>400</v>
      </c>
      <c r="AC8" s="494"/>
      <c r="AD8" s="489">
        <f>SUM(F8:AC8)</f>
        <v>15600</v>
      </c>
      <c r="AE8" s="489"/>
      <c r="AF8" s="497" t="s">
        <v>45</v>
      </c>
      <c r="AG8" s="497"/>
      <c r="AH8" s="497"/>
    </row>
    <row r="9" spans="3:34" x14ac:dyDescent="0.2">
      <c r="C9" s="28"/>
      <c r="D9" s="28"/>
      <c r="E9" s="28"/>
      <c r="F9" s="189"/>
      <c r="G9" s="28"/>
      <c r="H9" s="28"/>
      <c r="I9" s="28"/>
      <c r="J9" s="28"/>
      <c r="K9" s="28"/>
      <c r="L9" s="28"/>
      <c r="M9" s="28"/>
      <c r="N9" s="28"/>
      <c r="O9" s="28"/>
      <c r="P9" s="28"/>
      <c r="Q9" s="28"/>
      <c r="R9" s="28"/>
      <c r="S9" s="28"/>
      <c r="T9" s="28"/>
      <c r="U9" s="28"/>
      <c r="V9" s="28"/>
      <c r="W9" s="28"/>
      <c r="X9" s="28"/>
      <c r="Y9" s="28"/>
      <c r="Z9" s="28"/>
      <c r="AA9" s="28"/>
      <c r="AB9" s="28"/>
      <c r="AC9" s="28"/>
      <c r="AD9" s="762">
        <f>AD8/V5</f>
        <v>1040</v>
      </c>
      <c r="AE9" s="762"/>
      <c r="AF9" s="28" t="s">
        <v>211</v>
      </c>
      <c r="AG9" s="28"/>
      <c r="AH9" s="28"/>
    </row>
  </sheetData>
  <mergeCells count="29">
    <mergeCell ref="AF8:AH8"/>
    <mergeCell ref="AD9:AE9"/>
    <mergeCell ref="R8:S8"/>
    <mergeCell ref="T8:U8"/>
    <mergeCell ref="V8:W8"/>
    <mergeCell ref="X8:Y8"/>
    <mergeCell ref="Z8:AA8"/>
    <mergeCell ref="AB8:AC8"/>
    <mergeCell ref="X7:Y7"/>
    <mergeCell ref="Z7:AA7"/>
    <mergeCell ref="AB7:AC7"/>
    <mergeCell ref="AD7:AE7"/>
    <mergeCell ref="F8:G8"/>
    <mergeCell ref="H8:I8"/>
    <mergeCell ref="J8:K8"/>
    <mergeCell ref="L8:M8"/>
    <mergeCell ref="N8:O8"/>
    <mergeCell ref="P8:Q8"/>
    <mergeCell ref="AD8:AE8"/>
    <mergeCell ref="V5:W5"/>
    <mergeCell ref="F7:G7"/>
    <mergeCell ref="H7:I7"/>
    <mergeCell ref="J7:K7"/>
    <mergeCell ref="L7:M7"/>
    <mergeCell ref="N7:O7"/>
    <mergeCell ref="P7:Q7"/>
    <mergeCell ref="R7:S7"/>
    <mergeCell ref="T7:U7"/>
    <mergeCell ref="V7:W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P225"/>
  <sheetViews>
    <sheetView topLeftCell="A116" workbookViewId="0">
      <selection activeCell="B124" sqref="B124:AG143"/>
    </sheetView>
  </sheetViews>
  <sheetFormatPr baseColWidth="10" defaultColWidth="15.83203125" defaultRowHeight="12.75" zeroHeight="1" x14ac:dyDescent="0.2"/>
  <cols>
    <col min="1" max="1" width="2.33203125" style="62" customWidth="1"/>
    <col min="2" max="2" width="3.33203125" style="15" customWidth="1"/>
    <col min="3" max="4" width="3.1640625" style="15" customWidth="1"/>
    <col min="5" max="12" width="3.6640625" style="15" customWidth="1"/>
    <col min="13" max="21" width="3.83203125" style="15" customWidth="1"/>
    <col min="22" max="26" width="4" style="15" customWidth="1"/>
    <col min="27" max="28" width="3.33203125" style="15" customWidth="1"/>
    <col min="29" max="29" width="4.33203125" style="15" customWidth="1"/>
    <col min="30" max="30" width="3.33203125" style="15" customWidth="1"/>
    <col min="31" max="31" width="9.1640625" style="15" customWidth="1"/>
    <col min="32" max="33" width="4.33203125" style="15" customWidth="1"/>
    <col min="34" max="34" width="3.33203125" style="15" customWidth="1"/>
    <col min="35" max="35" width="2.33203125" style="28" customWidth="1"/>
    <col min="36" max="36" width="10" style="149" customWidth="1"/>
    <col min="37" max="37" width="11" style="150" customWidth="1"/>
    <col min="38" max="38" width="10" style="149" customWidth="1"/>
    <col min="39" max="39" width="8.83203125" style="150" customWidth="1"/>
    <col min="40" max="40" width="23.33203125" style="150" customWidth="1"/>
    <col min="41" max="41" width="6.33203125" style="150" customWidth="1"/>
    <col min="42" max="42" width="15" style="150" customWidth="1"/>
    <col min="43" max="16384" width="15.83203125" style="15"/>
  </cols>
  <sheetData>
    <row r="1" spans="2:37" ht="16.350000000000001" customHeight="1" x14ac:dyDescent="0.2">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row>
    <row r="2" spans="2:37" ht="16.5" customHeight="1" x14ac:dyDescent="0.2">
      <c r="B2" s="620"/>
      <c r="C2" s="621"/>
      <c r="D2" s="621"/>
      <c r="E2" s="621"/>
      <c r="F2" s="622"/>
      <c r="G2" s="629" t="s">
        <v>36</v>
      </c>
      <c r="H2" s="630"/>
      <c r="I2" s="630"/>
      <c r="J2" s="630"/>
      <c r="K2" s="630"/>
      <c r="L2" s="630"/>
      <c r="M2" s="630"/>
      <c r="N2" s="630"/>
      <c r="O2" s="631"/>
      <c r="P2" s="638" t="s">
        <v>76</v>
      </c>
      <c r="Q2" s="639"/>
      <c r="R2" s="639"/>
      <c r="S2" s="639"/>
      <c r="T2" s="639"/>
      <c r="U2" s="639"/>
      <c r="V2" s="639"/>
      <c r="W2" s="639"/>
      <c r="X2" s="639"/>
      <c r="Y2" s="640"/>
      <c r="Z2" s="647" t="s">
        <v>172</v>
      </c>
      <c r="AA2" s="648"/>
      <c r="AB2" s="648"/>
      <c r="AC2" s="648"/>
      <c r="AD2" s="648"/>
      <c r="AE2" s="648"/>
      <c r="AF2" s="648"/>
      <c r="AG2" s="648"/>
      <c r="AH2" s="649"/>
    </row>
    <row r="3" spans="2:37" ht="16.5" customHeight="1" x14ac:dyDescent="0.2">
      <c r="B3" s="623"/>
      <c r="C3" s="624"/>
      <c r="D3" s="624"/>
      <c r="E3" s="624"/>
      <c r="F3" s="625"/>
      <c r="G3" s="632"/>
      <c r="H3" s="633"/>
      <c r="I3" s="633"/>
      <c r="J3" s="633"/>
      <c r="K3" s="633"/>
      <c r="L3" s="633"/>
      <c r="M3" s="633"/>
      <c r="N3" s="633"/>
      <c r="O3" s="634"/>
      <c r="P3" s="641"/>
      <c r="Q3" s="642"/>
      <c r="R3" s="642"/>
      <c r="S3" s="642"/>
      <c r="T3" s="642"/>
      <c r="U3" s="642"/>
      <c r="V3" s="642"/>
      <c r="W3" s="642"/>
      <c r="X3" s="642"/>
      <c r="Y3" s="643"/>
      <c r="Z3" s="650"/>
      <c r="AA3" s="651"/>
      <c r="AB3" s="651"/>
      <c r="AC3" s="651"/>
      <c r="AD3" s="651"/>
      <c r="AE3" s="651"/>
      <c r="AF3" s="651"/>
      <c r="AG3" s="651"/>
      <c r="AH3" s="652"/>
    </row>
    <row r="4" spans="2:37" ht="16.5" customHeight="1" x14ac:dyDescent="0.2">
      <c r="B4" s="623"/>
      <c r="C4" s="624"/>
      <c r="D4" s="624"/>
      <c r="E4" s="624"/>
      <c r="F4" s="625"/>
      <c r="G4" s="632"/>
      <c r="H4" s="633"/>
      <c r="I4" s="633"/>
      <c r="J4" s="633"/>
      <c r="K4" s="633"/>
      <c r="L4" s="633"/>
      <c r="M4" s="633"/>
      <c r="N4" s="633"/>
      <c r="O4" s="634"/>
      <c r="P4" s="641"/>
      <c r="Q4" s="642"/>
      <c r="R4" s="642"/>
      <c r="S4" s="642"/>
      <c r="T4" s="642"/>
      <c r="U4" s="642"/>
      <c r="V4" s="642"/>
      <c r="W4" s="642"/>
      <c r="X4" s="642"/>
      <c r="Y4" s="643"/>
      <c r="Z4" s="650"/>
      <c r="AA4" s="651"/>
      <c r="AB4" s="651"/>
      <c r="AC4" s="651"/>
      <c r="AD4" s="651"/>
      <c r="AE4" s="651"/>
      <c r="AF4" s="651"/>
      <c r="AG4" s="651"/>
      <c r="AH4" s="652"/>
    </row>
    <row r="5" spans="2:37" ht="16.5" customHeight="1" x14ac:dyDescent="0.2">
      <c r="B5" s="626"/>
      <c r="C5" s="627"/>
      <c r="D5" s="627"/>
      <c r="E5" s="627"/>
      <c r="F5" s="628"/>
      <c r="G5" s="635"/>
      <c r="H5" s="636"/>
      <c r="I5" s="636"/>
      <c r="J5" s="636"/>
      <c r="K5" s="636"/>
      <c r="L5" s="636"/>
      <c r="M5" s="636"/>
      <c r="N5" s="636"/>
      <c r="O5" s="637"/>
      <c r="P5" s="644"/>
      <c r="Q5" s="645"/>
      <c r="R5" s="645"/>
      <c r="S5" s="645"/>
      <c r="T5" s="645"/>
      <c r="U5" s="645"/>
      <c r="V5" s="645"/>
      <c r="W5" s="645"/>
      <c r="X5" s="645"/>
      <c r="Y5" s="646"/>
      <c r="Z5" s="653"/>
      <c r="AA5" s="654"/>
      <c r="AB5" s="654"/>
      <c r="AC5" s="654"/>
      <c r="AD5" s="654"/>
      <c r="AE5" s="654"/>
      <c r="AF5" s="654"/>
      <c r="AG5" s="654"/>
      <c r="AH5" s="655"/>
    </row>
    <row r="6" spans="2:37" ht="9.75" customHeight="1" x14ac:dyDescent="0.2">
      <c r="B6" s="200"/>
      <c r="C6" s="200"/>
      <c r="D6" s="23"/>
      <c r="E6" s="23"/>
      <c r="F6" s="23"/>
      <c r="G6" s="23"/>
      <c r="H6" s="23"/>
      <c r="I6" s="23"/>
      <c r="J6" s="23"/>
      <c r="K6" s="23"/>
      <c r="L6" s="23"/>
      <c r="M6" s="23"/>
      <c r="N6" s="24"/>
      <c r="O6" s="24"/>
      <c r="P6" s="24"/>
      <c r="Q6" s="24"/>
      <c r="R6" s="24"/>
      <c r="S6" s="24"/>
      <c r="T6" s="24"/>
      <c r="U6" s="24"/>
      <c r="V6" s="25"/>
      <c r="W6" s="25"/>
      <c r="X6" s="25"/>
      <c r="Y6" s="25"/>
      <c r="Z6" s="25"/>
      <c r="AA6" s="25"/>
      <c r="AB6" s="25"/>
      <c r="AC6" s="25"/>
      <c r="AD6" s="25"/>
      <c r="AE6" s="25"/>
      <c r="AF6" s="25"/>
      <c r="AG6" s="25"/>
      <c r="AH6" s="25"/>
      <c r="AK6" s="149"/>
    </row>
    <row r="7" spans="2:37" ht="16.350000000000001" customHeight="1" x14ac:dyDescent="0.2">
      <c r="B7" s="558" t="s">
        <v>0</v>
      </c>
      <c r="C7" s="558"/>
      <c r="D7" s="558"/>
      <c r="E7" s="656"/>
      <c r="F7" s="764"/>
      <c r="G7" s="578"/>
      <c r="H7" s="578"/>
      <c r="I7" s="578"/>
      <c r="J7" s="578"/>
      <c r="K7" s="578"/>
      <c r="L7" s="578"/>
      <c r="M7" s="578"/>
      <c r="N7" s="578"/>
      <c r="O7" s="578"/>
      <c r="P7" s="765"/>
      <c r="Q7" s="657" t="s">
        <v>110</v>
      </c>
      <c r="R7" s="493"/>
      <c r="S7" s="493"/>
      <c r="T7" s="658"/>
      <c r="U7" s="764"/>
      <c r="V7" s="578"/>
      <c r="W7" s="578"/>
      <c r="X7" s="578"/>
      <c r="Y7" s="578"/>
      <c r="Z7" s="765"/>
      <c r="AA7" s="28"/>
      <c r="AB7" s="28"/>
      <c r="AC7" s="19"/>
      <c r="AD7" s="43" t="s">
        <v>80</v>
      </c>
      <c r="AE7" s="612"/>
      <c r="AF7" s="613"/>
      <c r="AG7" s="613"/>
      <c r="AH7" s="614"/>
      <c r="AK7" s="149"/>
    </row>
    <row r="8" spans="2:37" ht="4.5" customHeight="1" x14ac:dyDescent="0.2">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43"/>
      <c r="AE8" s="28"/>
      <c r="AF8" s="28"/>
      <c r="AG8" s="28"/>
      <c r="AH8" s="28"/>
      <c r="AK8" s="149"/>
    </row>
    <row r="9" spans="2:37" ht="16.5" customHeight="1" x14ac:dyDescent="0.2">
      <c r="B9" s="558" t="s">
        <v>1</v>
      </c>
      <c r="C9" s="558"/>
      <c r="D9" s="558"/>
      <c r="E9" s="28"/>
      <c r="F9" s="612"/>
      <c r="G9" s="613"/>
      <c r="H9" s="613"/>
      <c r="I9" s="613"/>
      <c r="J9" s="613"/>
      <c r="K9" s="613"/>
      <c r="L9" s="613"/>
      <c r="M9" s="613"/>
      <c r="N9" s="613"/>
      <c r="O9" s="613"/>
      <c r="P9" s="613"/>
      <c r="Q9" s="613"/>
      <c r="R9" s="613"/>
      <c r="S9" s="613"/>
      <c r="T9" s="613"/>
      <c r="U9" s="613"/>
      <c r="V9" s="613"/>
      <c r="W9" s="613"/>
      <c r="X9" s="613"/>
      <c r="Y9" s="613"/>
      <c r="Z9" s="614"/>
      <c r="AA9" s="28"/>
      <c r="AB9" s="28"/>
      <c r="AC9" s="19"/>
      <c r="AD9" s="43" t="s">
        <v>111</v>
      </c>
      <c r="AE9" s="612"/>
      <c r="AF9" s="613"/>
      <c r="AG9" s="613"/>
      <c r="AH9" s="614"/>
      <c r="AK9" s="149"/>
    </row>
    <row r="10" spans="2:37" ht="8.1" customHeight="1" thickBot="1" x14ac:dyDescent="0.2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K10" s="149"/>
    </row>
    <row r="11" spans="2:37" ht="8.1" customHeight="1" x14ac:dyDescent="0.2">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2:37" ht="15.75" customHeight="1" x14ac:dyDescent="0.2">
      <c r="B12" s="75" t="s">
        <v>77</v>
      </c>
      <c r="C12" s="28"/>
      <c r="D12" s="28"/>
      <c r="E12" s="28"/>
      <c r="F12" s="28"/>
      <c r="G12" s="28"/>
      <c r="H12" s="28"/>
      <c r="I12" s="28"/>
      <c r="J12" s="28"/>
      <c r="K12" s="140"/>
      <c r="L12" s="140"/>
      <c r="M12" s="140"/>
      <c r="N12" s="140"/>
      <c r="O12" s="140"/>
      <c r="P12" s="140"/>
      <c r="Q12" s="140"/>
      <c r="R12" s="68"/>
      <c r="S12" s="189" t="str">
        <f>IF(AJ12=1,"Fournir justification en annexe","")</f>
        <v/>
      </c>
      <c r="T12" s="28"/>
      <c r="U12" s="28"/>
      <c r="V12" s="28"/>
      <c r="W12" s="28"/>
      <c r="X12" s="28"/>
      <c r="Y12" s="28"/>
      <c r="Z12" s="28"/>
      <c r="AA12" s="28"/>
      <c r="AB12" s="28"/>
      <c r="AC12" s="28"/>
      <c r="AD12" s="78"/>
      <c r="AE12" s="78"/>
      <c r="AF12" s="78"/>
      <c r="AG12" s="78"/>
      <c r="AH12" s="78"/>
      <c r="AJ12" s="149">
        <v>0</v>
      </c>
    </row>
    <row r="13" spans="2:37" ht="8.1" customHeight="1" thickBot="1" x14ac:dyDescent="0.25">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7" ht="8.1" customHeight="1" x14ac:dyDescent="0.2">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2:37" ht="15.75" customHeight="1" x14ac:dyDescent="0.2">
      <c r="B15" s="199" t="s">
        <v>2</v>
      </c>
      <c r="C15" s="30"/>
      <c r="D15" s="30"/>
      <c r="E15" s="30"/>
      <c r="F15" s="30"/>
      <c r="G15" s="30"/>
      <c r="H15" s="30"/>
      <c r="I15" s="30"/>
      <c r="J15" s="28"/>
      <c r="K15" s="28"/>
      <c r="L15" s="28"/>
      <c r="M15" s="28"/>
      <c r="N15" s="28"/>
      <c r="O15" s="28"/>
      <c r="P15" s="28"/>
      <c r="Q15" s="28"/>
      <c r="R15" s="28"/>
      <c r="S15" s="28"/>
      <c r="T15" s="28"/>
      <c r="U15" s="28"/>
      <c r="V15" s="28"/>
      <c r="W15" s="28"/>
      <c r="X15" s="28"/>
      <c r="Y15" s="27"/>
      <c r="Z15" s="28"/>
      <c r="AA15" s="28"/>
      <c r="AB15" s="28"/>
      <c r="AC15" s="28"/>
      <c r="AD15" s="28"/>
      <c r="AE15" s="28"/>
      <c r="AF15" s="28"/>
      <c r="AG15" s="28"/>
      <c r="AH15" s="28"/>
    </row>
    <row r="16" spans="2:37" ht="8.1" customHeight="1" x14ac:dyDescent="0.2">
      <c r="B16" s="28"/>
      <c r="C16" s="28"/>
      <c r="D16" s="28"/>
      <c r="E16" s="28"/>
      <c r="F16" s="28"/>
      <c r="G16" s="28"/>
      <c r="H16" s="28"/>
      <c r="I16" s="28"/>
      <c r="J16" s="28"/>
      <c r="K16" s="67"/>
      <c r="L16" s="28"/>
      <c r="M16" s="28"/>
      <c r="N16" s="28"/>
      <c r="O16" s="28"/>
      <c r="P16" s="28"/>
      <c r="Q16" s="28"/>
      <c r="R16" s="28"/>
      <c r="S16" s="28"/>
      <c r="T16" s="28"/>
      <c r="U16" s="28"/>
      <c r="V16" s="28"/>
      <c r="W16" s="28"/>
      <c r="X16" s="28"/>
      <c r="Y16" s="27"/>
      <c r="Z16" s="28"/>
      <c r="AA16" s="28"/>
      <c r="AB16" s="28"/>
      <c r="AC16" s="28"/>
      <c r="AD16" s="28"/>
      <c r="AE16" s="28"/>
      <c r="AF16" s="28"/>
      <c r="AG16" s="28"/>
      <c r="AH16" s="28"/>
    </row>
    <row r="17" spans="2:42" ht="15.75" customHeight="1" x14ac:dyDescent="0.2">
      <c r="B17" s="28"/>
      <c r="D17" s="28" t="s">
        <v>54</v>
      </c>
      <c r="F17" s="28"/>
      <c r="G17" s="28"/>
      <c r="H17" s="28"/>
      <c r="I17" s="28"/>
      <c r="J17" s="28"/>
      <c r="K17" s="28"/>
      <c r="L17" s="28"/>
      <c r="M17" s="28"/>
      <c r="N17" s="28"/>
      <c r="O17" s="28"/>
      <c r="P17" s="28"/>
      <c r="Q17" s="28" t="s">
        <v>148</v>
      </c>
      <c r="R17" s="28"/>
      <c r="S17" s="28"/>
      <c r="T17" s="28"/>
      <c r="U17" s="28"/>
      <c r="V17" s="28"/>
      <c r="W17" s="28"/>
      <c r="X17" s="28"/>
      <c r="Y17" s="27"/>
      <c r="Z17" s="28"/>
      <c r="AA17" s="28"/>
      <c r="AB17" s="28" t="s">
        <v>42</v>
      </c>
      <c r="AD17" s="28"/>
      <c r="AE17" s="28"/>
      <c r="AF17" s="28"/>
      <c r="AG17" s="28"/>
      <c r="AH17" s="28"/>
      <c r="AJ17" s="149" t="b">
        <v>0</v>
      </c>
      <c r="AK17" s="149" t="b">
        <v>0</v>
      </c>
      <c r="AL17" s="149" t="b">
        <v>1</v>
      </c>
    </row>
    <row r="18" spans="2:42" ht="4.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7"/>
      <c r="Z18" s="28"/>
      <c r="AA18" s="28"/>
      <c r="AB18" s="28"/>
      <c r="AC18" s="28"/>
      <c r="AD18" s="28"/>
      <c r="AE18" s="28"/>
      <c r="AF18" s="28"/>
      <c r="AG18" s="28"/>
      <c r="AH18" s="28"/>
    </row>
    <row r="19" spans="2:42" ht="15.75" customHeight="1" x14ac:dyDescent="0.2">
      <c r="B19" s="28"/>
      <c r="D19" s="28"/>
      <c r="E19" s="28"/>
      <c r="F19" s="28"/>
      <c r="G19" s="28"/>
      <c r="H19" s="28"/>
      <c r="I19" s="28"/>
      <c r="J19" s="28"/>
      <c r="K19" s="28"/>
      <c r="L19" s="28"/>
      <c r="M19" s="28"/>
      <c r="N19" s="28"/>
      <c r="O19" s="28"/>
      <c r="P19" s="28"/>
      <c r="Q19" s="77" t="s">
        <v>78</v>
      </c>
      <c r="R19" s="28"/>
      <c r="S19" s="28"/>
      <c r="T19" s="28"/>
      <c r="U19" s="28"/>
      <c r="V19" s="28"/>
      <c r="W19" s="28"/>
      <c r="X19" s="28"/>
      <c r="Y19" s="27"/>
      <c r="Z19" s="28"/>
      <c r="AA19" s="28"/>
      <c r="AB19" s="28"/>
      <c r="AC19" s="28"/>
      <c r="AD19" s="28"/>
      <c r="AE19" s="28"/>
      <c r="AF19" s="28"/>
      <c r="AG19" s="28"/>
      <c r="AH19" s="28"/>
      <c r="AK19" s="149" t="b">
        <v>0</v>
      </c>
    </row>
    <row r="20" spans="2:42" ht="8.1" customHeight="1" x14ac:dyDescent="0.2">
      <c r="B20" s="28"/>
      <c r="C20" s="28"/>
      <c r="D20" s="28"/>
      <c r="E20" s="28"/>
      <c r="F20" s="28"/>
      <c r="G20" s="28"/>
      <c r="H20" s="28"/>
      <c r="I20" s="28"/>
      <c r="J20" s="28"/>
      <c r="K20" s="28"/>
      <c r="L20" s="28"/>
      <c r="M20" s="28"/>
      <c r="N20" s="28"/>
      <c r="O20" s="28"/>
      <c r="P20" s="28"/>
      <c r="Q20" s="68"/>
      <c r="R20" s="28"/>
      <c r="S20" s="28"/>
      <c r="T20" s="28"/>
      <c r="U20" s="28"/>
      <c r="V20" s="28"/>
      <c r="W20" s="28"/>
      <c r="X20" s="28"/>
      <c r="Y20" s="27"/>
      <c r="Z20" s="28"/>
      <c r="AA20" s="28"/>
      <c r="AB20" s="28"/>
      <c r="AC20" s="28"/>
      <c r="AD20" s="28"/>
      <c r="AE20" s="28"/>
      <c r="AF20" s="28"/>
      <c r="AG20" s="28"/>
      <c r="AH20" s="28"/>
      <c r="AJ20" s="151"/>
    </row>
    <row r="21" spans="2:42" ht="15.75" customHeight="1" x14ac:dyDescent="0.2">
      <c r="B21" s="28"/>
      <c r="C21" s="68"/>
      <c r="D21" s="28"/>
      <c r="E21" s="28"/>
      <c r="F21" s="28"/>
      <c r="G21" s="28"/>
      <c r="H21" s="28"/>
      <c r="I21" s="28"/>
      <c r="J21" s="28"/>
      <c r="K21" s="28"/>
      <c r="L21" s="28"/>
      <c r="M21" s="28"/>
      <c r="N21" s="28"/>
      <c r="O21" s="28"/>
      <c r="P21" s="28"/>
      <c r="Q21" s="68"/>
      <c r="R21" s="28"/>
      <c r="S21" s="28"/>
      <c r="T21" s="28"/>
      <c r="U21" s="28"/>
      <c r="V21" s="28"/>
      <c r="W21" s="28"/>
      <c r="X21" s="28"/>
      <c r="Y21" s="27"/>
      <c r="Z21" s="28"/>
      <c r="AA21" s="28"/>
      <c r="AB21" s="28"/>
      <c r="AC21" s="28"/>
      <c r="AD21" s="28"/>
      <c r="AE21" s="28"/>
      <c r="AF21" s="28"/>
      <c r="AG21" s="28"/>
      <c r="AH21" s="28"/>
    </row>
    <row r="22" spans="2:42" ht="15.75" customHeight="1" x14ac:dyDescent="0.2">
      <c r="B22" s="28"/>
      <c r="C22" s="77" t="s">
        <v>149</v>
      </c>
      <c r="D22" s="28"/>
      <c r="E22" s="28"/>
      <c r="F22" s="28"/>
      <c r="G22" s="28"/>
      <c r="H22" s="28"/>
      <c r="I22" s="28"/>
      <c r="J22" s="28"/>
      <c r="K22" s="28"/>
      <c r="L22" s="28"/>
      <c r="M22" s="28"/>
      <c r="N22" s="28"/>
      <c r="O22" s="28"/>
      <c r="P22" s="28"/>
      <c r="Q22" s="68"/>
      <c r="R22" s="28"/>
      <c r="S22" s="76"/>
      <c r="T22" s="76"/>
      <c r="U22" s="76"/>
      <c r="V22" s="76"/>
      <c r="W22" s="76"/>
      <c r="X22" s="76"/>
      <c r="Y22" s="79"/>
      <c r="Z22" s="76"/>
      <c r="AA22" s="76"/>
      <c r="AB22" s="76"/>
      <c r="AC22" s="76"/>
      <c r="AD22" s="80"/>
      <c r="AE22" s="78"/>
      <c r="AG22" s="78"/>
      <c r="AH22" s="28"/>
      <c r="AJ22" s="149">
        <v>1</v>
      </c>
    </row>
    <row r="23" spans="2:42" ht="15.75" customHeight="1" x14ac:dyDescent="0.2">
      <c r="B23" s="28"/>
      <c r="C23" s="77"/>
      <c r="D23" s="28"/>
      <c r="E23" s="28"/>
      <c r="F23" s="28"/>
      <c r="G23" s="28"/>
      <c r="H23" s="28"/>
      <c r="I23" s="28"/>
      <c r="J23" s="28"/>
      <c r="K23" s="28"/>
      <c r="L23" s="28"/>
      <c r="M23" s="28"/>
      <c r="N23" s="28"/>
      <c r="O23" s="28"/>
      <c r="P23" s="28"/>
      <c r="Q23" s="68"/>
      <c r="R23" s="28"/>
      <c r="S23" s="141" t="str">
        <f>IF((AJ22=2),"fournir EN-VS-133 ","")</f>
        <v/>
      </c>
      <c r="T23" s="28"/>
      <c r="U23" s="28"/>
      <c r="V23" s="28"/>
      <c r="W23" s="28"/>
      <c r="X23" s="28"/>
      <c r="Y23" s="27"/>
      <c r="Z23" s="28"/>
      <c r="AA23" s="28"/>
      <c r="AB23" s="28"/>
      <c r="AC23" s="28"/>
      <c r="AD23" s="78"/>
      <c r="AE23" s="78"/>
      <c r="AF23" s="141"/>
      <c r="AG23" s="78"/>
      <c r="AH23" s="28"/>
    </row>
    <row r="24" spans="2:42" ht="8.1" customHeight="1" thickBot="1" x14ac:dyDescent="0.25">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J24" s="150"/>
    </row>
    <row r="25" spans="2:42" ht="8.1" customHeight="1" x14ac:dyDescent="0.2">
      <c r="B25" s="126"/>
      <c r="C25" s="126"/>
      <c r="D25" s="126"/>
      <c r="E25" s="126"/>
      <c r="F25" s="126"/>
      <c r="G25" s="126"/>
      <c r="H25" s="126"/>
      <c r="I25" s="126"/>
      <c r="J25" s="126"/>
      <c r="K25" s="126"/>
      <c r="L25" s="126"/>
      <c r="M25" s="126"/>
      <c r="N25" s="126"/>
      <c r="O25" s="126"/>
      <c r="P25" s="126"/>
      <c r="Q25" s="126"/>
      <c r="R25" s="178"/>
      <c r="S25" s="28"/>
      <c r="T25" s="28"/>
      <c r="U25" s="28"/>
      <c r="V25" s="28"/>
      <c r="W25" s="28"/>
      <c r="X25" s="28"/>
      <c r="Y25" s="28"/>
      <c r="Z25" s="28"/>
      <c r="AA25" s="28"/>
      <c r="AB25" s="28"/>
      <c r="AC25" s="28"/>
      <c r="AD25" s="28"/>
      <c r="AE25" s="28"/>
      <c r="AF25" s="28"/>
      <c r="AG25" s="28"/>
      <c r="AH25" s="28"/>
    </row>
    <row r="26" spans="2:42" ht="15.75" customHeight="1" x14ac:dyDescent="0.2">
      <c r="B26" s="34" t="s">
        <v>135</v>
      </c>
      <c r="C26" s="34"/>
      <c r="D26" s="34" t="s">
        <v>136</v>
      </c>
      <c r="E26" s="34"/>
      <c r="F26" s="34"/>
      <c r="G26" s="34"/>
      <c r="H26" s="34"/>
      <c r="I26" s="34"/>
      <c r="J26" s="34"/>
      <c r="K26" s="34"/>
      <c r="L26" s="34"/>
      <c r="M26" s="34"/>
      <c r="N26" s="34"/>
      <c r="O26" s="34"/>
      <c r="P26" s="34"/>
      <c r="Q26" s="34"/>
      <c r="R26" s="179"/>
      <c r="S26" s="34"/>
      <c r="T26" s="34"/>
      <c r="U26" s="34"/>
      <c r="V26" s="34"/>
      <c r="W26" s="34"/>
      <c r="X26" s="34"/>
      <c r="Y26" s="34"/>
      <c r="Z26" s="34"/>
      <c r="AA26" s="34"/>
      <c r="AB26" s="34"/>
      <c r="AC26" s="34"/>
      <c r="AE26" s="73"/>
      <c r="AF26" s="73"/>
      <c r="AG26" s="73"/>
    </row>
    <row r="27" spans="2:42" ht="15.75" customHeight="1" thickBot="1" x14ac:dyDescent="0.25">
      <c r="B27" s="127" t="s">
        <v>73</v>
      </c>
      <c r="C27" s="128"/>
      <c r="D27" s="128"/>
      <c r="E27" s="128"/>
      <c r="F27" s="128"/>
      <c r="G27" s="128"/>
      <c r="H27" s="128"/>
      <c r="I27" s="128"/>
      <c r="J27" s="128"/>
      <c r="K27" s="14"/>
      <c r="L27" s="14"/>
      <c r="M27" s="14"/>
      <c r="N27" s="14"/>
      <c r="O27" s="14"/>
      <c r="P27" s="14"/>
      <c r="Q27" s="14"/>
      <c r="R27" s="192"/>
      <c r="S27" s="28"/>
      <c r="T27" s="28"/>
      <c r="U27" s="28"/>
      <c r="V27" s="28"/>
      <c r="W27" s="28"/>
      <c r="X27" s="28"/>
      <c r="Y27" s="28"/>
      <c r="Z27" s="28"/>
      <c r="AA27" s="28"/>
      <c r="AB27" s="28"/>
      <c r="AC27" s="28"/>
      <c r="AD27" s="28"/>
      <c r="AE27" s="28"/>
      <c r="AF27" s="28"/>
      <c r="AG27" s="61"/>
      <c r="AH27" s="61"/>
      <c r="AJ27" s="149" t="s">
        <v>83</v>
      </c>
      <c r="AN27" s="152">
        <v>1100</v>
      </c>
      <c r="AO27" s="149" t="str">
        <f>IF(AO31=1,"Projet soumis",IF(AO30=0,"projet exempté",IF(AND(AO29=1,AO33=1),"Projet exempté","Projet soumis")))</f>
        <v>projet exempté</v>
      </c>
      <c r="AP27" s="149"/>
    </row>
    <row r="28" spans="2:42" ht="8.1" customHeight="1" x14ac:dyDescent="0.2">
      <c r="B28" s="199"/>
      <c r="C28" s="199"/>
      <c r="D28" s="199"/>
      <c r="E28" s="199"/>
      <c r="F28" s="199"/>
      <c r="G28" s="199"/>
      <c r="H28" s="199"/>
      <c r="I28" s="199"/>
      <c r="J28" s="18"/>
      <c r="K28" s="18"/>
      <c r="L28" s="18"/>
      <c r="M28" s="18"/>
      <c r="N28" s="18"/>
      <c r="O28" s="18"/>
      <c r="P28" s="18"/>
      <c r="Q28" s="18"/>
      <c r="R28" s="18"/>
      <c r="S28" s="18"/>
      <c r="T28" s="18"/>
      <c r="U28" s="18"/>
      <c r="V28" s="18"/>
      <c r="W28" s="18"/>
      <c r="X28" s="18"/>
      <c r="Y28" s="18"/>
      <c r="Z28" s="18"/>
      <c r="AA28" s="18"/>
      <c r="AB28" s="31"/>
      <c r="AC28" s="31"/>
      <c r="AD28" s="31"/>
      <c r="AE28" s="31"/>
      <c r="AF28" s="31"/>
      <c r="AG28" s="31"/>
      <c r="AH28" s="31"/>
      <c r="AI28" s="31"/>
      <c r="AO28" s="149"/>
      <c r="AP28" s="149"/>
    </row>
    <row r="29" spans="2:42" ht="15.75" customHeight="1" x14ac:dyDescent="0.2">
      <c r="B29" s="28"/>
      <c r="C29" s="26"/>
      <c r="D29" s="26"/>
      <c r="E29" s="28" t="s">
        <v>81</v>
      </c>
      <c r="F29" s="27"/>
      <c r="G29" s="27"/>
      <c r="H29" s="763"/>
      <c r="I29" s="763"/>
      <c r="J29" s="763"/>
      <c r="K29" s="144" t="s">
        <v>112</v>
      </c>
      <c r="L29" s="27"/>
      <c r="M29" s="28" t="s">
        <v>37</v>
      </c>
      <c r="N29" s="28"/>
      <c r="O29" s="28"/>
      <c r="P29" s="28"/>
      <c r="Q29" s="763"/>
      <c r="R29" s="763"/>
      <c r="S29" s="763"/>
      <c r="T29" s="482" t="s">
        <v>112</v>
      </c>
      <c r="U29" s="482"/>
      <c r="V29" s="28" t="s">
        <v>38</v>
      </c>
      <c r="W29" s="28"/>
      <c r="X29" s="608" t="str">
        <f>IF(Q29=0,"-", IF(AJ29&gt;20,"&gt;20","&lt;20"))</f>
        <v>-</v>
      </c>
      <c r="Y29" s="608"/>
      <c r="Z29" s="27" t="s">
        <v>39</v>
      </c>
      <c r="AA29" s="27"/>
      <c r="AB29" s="28"/>
      <c r="AD29" s="28"/>
      <c r="AE29" s="28" t="str">
        <f>IF(AND(H29=0,Q29=0),"",IF(AJ31=TRUE,"Projet exempté",IF(AO31=1,"Projet soumis",IF(AO30=0,"Projet exempté",IF(AND(AO29=1,AO33=1),"Projet exempté","Projet soumis")))))</f>
        <v/>
      </c>
      <c r="AG29" s="28"/>
      <c r="AI29" s="18"/>
      <c r="AJ29" s="172">
        <f>IF(Q29=0,100,H29/Q29*100)</f>
        <v>100</v>
      </c>
      <c r="AK29" s="149" t="s">
        <v>121</v>
      </c>
      <c r="AO29" s="149">
        <f>IF(H29&lt;1000,1,0)</f>
        <v>1</v>
      </c>
      <c r="AP29" s="149"/>
    </row>
    <row r="30" spans="2:42" ht="8.1" customHeight="1" x14ac:dyDescent="0.2">
      <c r="B30" s="28"/>
      <c r="C30" s="26"/>
      <c r="D30" s="26"/>
      <c r="E30" s="28"/>
      <c r="F30" s="27"/>
      <c r="G30" s="27"/>
      <c r="H30" s="27"/>
      <c r="I30" s="27"/>
      <c r="J30" s="27"/>
      <c r="K30" s="27"/>
      <c r="L30" s="27"/>
      <c r="M30" s="27"/>
      <c r="N30" s="27"/>
      <c r="O30" s="27"/>
      <c r="P30" s="27"/>
      <c r="Q30" s="27"/>
      <c r="R30" s="27"/>
      <c r="S30" s="27"/>
      <c r="T30" s="27"/>
      <c r="U30" s="28"/>
      <c r="V30" s="28"/>
      <c r="W30" s="28"/>
      <c r="X30" s="69"/>
      <c r="Y30" s="69"/>
      <c r="Z30" s="27"/>
      <c r="AA30" s="27"/>
      <c r="AB30" s="27"/>
      <c r="AC30" s="27"/>
      <c r="AD30" s="27"/>
      <c r="AE30" s="27"/>
      <c r="AF30" s="27"/>
      <c r="AG30" s="27"/>
      <c r="AH30" s="18"/>
      <c r="AI30" s="18"/>
      <c r="AO30" s="149">
        <f>IF(H29&gt;50,1,0)</f>
        <v>0</v>
      </c>
      <c r="AP30" s="149"/>
    </row>
    <row r="31" spans="2:42" ht="15.75" customHeight="1" x14ac:dyDescent="0.2">
      <c r="B31" s="28"/>
      <c r="C31" s="26"/>
      <c r="D31" s="26"/>
      <c r="E31" s="28" t="s">
        <v>104</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J31" s="149" t="b">
        <v>0</v>
      </c>
      <c r="AO31" s="149">
        <f>IF(AND(H29&lt;&gt;0,Q29=0),1,0)</f>
        <v>0</v>
      </c>
      <c r="AP31" s="149"/>
    </row>
    <row r="32" spans="2:42" ht="15.75" customHeight="1" x14ac:dyDescent="0.2">
      <c r="B32" s="28"/>
      <c r="C32" s="26"/>
      <c r="D32" s="26"/>
      <c r="E32" s="28" t="s">
        <v>105</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O32" s="149">
        <f>IF(Q29=0,100, H29/Q29*100)</f>
        <v>100</v>
      </c>
      <c r="AP32" s="149"/>
    </row>
    <row r="33" spans="2:42" ht="15.75" customHeight="1" x14ac:dyDescent="0.2">
      <c r="B33" s="18"/>
      <c r="C33" s="36"/>
      <c r="D33" s="18"/>
      <c r="E33" s="610" t="str">
        <f>IF(AJ31=TRUE,"Fournir le certificat du label Minergie ou le certificat CECB A/A version provisoire","")</f>
        <v/>
      </c>
      <c r="F33" s="610"/>
      <c r="G33" s="610"/>
      <c r="H33" s="610"/>
      <c r="I33" s="610"/>
      <c r="J33" s="610"/>
      <c r="K33" s="610"/>
      <c r="L33" s="610"/>
      <c r="M33" s="610"/>
      <c r="N33" s="610"/>
      <c r="O33" s="610"/>
      <c r="P33" s="610"/>
      <c r="Q33" s="610"/>
      <c r="R33" s="182" t="s">
        <v>51</v>
      </c>
      <c r="T33" s="18"/>
      <c r="U33" s="30"/>
      <c r="V33" s="18"/>
      <c r="W33" s="18"/>
      <c r="X33" s="18"/>
      <c r="Y33" s="18"/>
      <c r="Z33" s="18"/>
      <c r="AA33" s="99"/>
      <c r="AB33" s="28"/>
      <c r="AC33" s="766">
        <f>IF(AJ33&gt;30,30,AJ33)</f>
        <v>0</v>
      </c>
      <c r="AD33" s="766"/>
      <c r="AE33" s="766"/>
      <c r="AF33" s="767" t="s">
        <v>79</v>
      </c>
      <c r="AG33" s="767"/>
      <c r="AH33" s="74"/>
      <c r="AJ33" s="153">
        <f>IF(AE29="Projet exempté",0,20*H29/1000)</f>
        <v>0</v>
      </c>
      <c r="AK33" s="149" t="s">
        <v>82</v>
      </c>
      <c r="AM33" s="149"/>
      <c r="AN33" s="149"/>
      <c r="AO33" s="171">
        <f>IF(AO32&gt;20,0,1)</f>
        <v>0</v>
      </c>
      <c r="AP33" s="171"/>
    </row>
    <row r="34" spans="2:42" ht="15.75" customHeight="1" x14ac:dyDescent="0.2">
      <c r="B34" s="18"/>
      <c r="C34" s="36"/>
      <c r="D34" s="18"/>
      <c r="E34" s="610"/>
      <c r="F34" s="610"/>
      <c r="G34" s="610"/>
      <c r="H34" s="610"/>
      <c r="I34" s="610"/>
      <c r="J34" s="610"/>
      <c r="K34" s="610"/>
      <c r="L34" s="610"/>
      <c r="M34" s="610"/>
      <c r="N34" s="610"/>
      <c r="O34" s="610"/>
      <c r="P34" s="610"/>
      <c r="Q34" s="610"/>
      <c r="R34" s="183" t="s">
        <v>84</v>
      </c>
      <c r="S34" s="28"/>
      <c r="T34" s="18"/>
      <c r="U34" s="30"/>
      <c r="V34" s="18"/>
      <c r="W34" s="18"/>
      <c r="X34" s="18"/>
      <c r="Y34" s="82"/>
      <c r="Z34" s="82"/>
      <c r="AA34" s="129"/>
      <c r="AB34" s="28"/>
      <c r="AC34" s="768">
        <f>AJ34</f>
        <v>0</v>
      </c>
      <c r="AD34" s="768"/>
      <c r="AE34" s="768"/>
      <c r="AF34" s="769" t="s">
        <v>46</v>
      </c>
      <c r="AG34" s="769"/>
      <c r="AH34" s="83"/>
      <c r="AJ34" s="153">
        <f>AC33*AN27</f>
        <v>0</v>
      </c>
      <c r="AK34" s="149" t="s">
        <v>45</v>
      </c>
      <c r="AL34" s="149" t="s">
        <v>93</v>
      </c>
      <c r="AO34" s="149"/>
    </row>
    <row r="35" spans="2:42" ht="8.1" customHeight="1" thickBot="1"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50">
        <f>IF(C33="Projet non-soumis à l'art.33 LcEne",0,20*L29/1000)</f>
        <v>0</v>
      </c>
      <c r="AD35" s="14"/>
      <c r="AE35" s="14"/>
      <c r="AF35" s="14"/>
      <c r="AG35" s="14"/>
      <c r="AH35" s="14"/>
    </row>
    <row r="36" spans="2:42" ht="8.1" customHeight="1" x14ac:dyDescent="0.2">
      <c r="B36" s="126"/>
      <c r="C36" s="126"/>
      <c r="D36" s="126"/>
      <c r="E36" s="126"/>
      <c r="F36" s="126"/>
      <c r="G36" s="126"/>
      <c r="H36" s="126"/>
      <c r="I36" s="126"/>
      <c r="J36" s="126"/>
      <c r="K36" s="126"/>
      <c r="L36" s="126"/>
      <c r="M36" s="126"/>
      <c r="N36" s="126"/>
      <c r="O36" s="126"/>
      <c r="P36" s="126"/>
      <c r="Q36" s="126"/>
      <c r="R36" s="126"/>
      <c r="S36" s="178"/>
      <c r="T36" s="28"/>
      <c r="U36" s="28"/>
      <c r="V36" s="28"/>
      <c r="W36" s="28"/>
      <c r="X36" s="28"/>
      <c r="Y36" s="28"/>
      <c r="Z36" s="28"/>
      <c r="AA36" s="28"/>
      <c r="AB36" s="28"/>
      <c r="AC36" s="28"/>
      <c r="AD36" s="28"/>
      <c r="AE36" s="28"/>
      <c r="AF36" s="28"/>
      <c r="AG36" s="28"/>
      <c r="AH36" s="28"/>
    </row>
    <row r="37" spans="2:42" ht="18" customHeight="1" x14ac:dyDescent="0.2">
      <c r="B37" s="34" t="s">
        <v>137</v>
      </c>
      <c r="C37" s="198"/>
      <c r="D37" s="34" t="s">
        <v>150</v>
      </c>
      <c r="E37" s="198"/>
      <c r="F37" s="198"/>
      <c r="G37" s="198"/>
      <c r="H37" s="198"/>
      <c r="I37" s="198"/>
      <c r="J37" s="198"/>
      <c r="K37" s="198"/>
      <c r="L37" s="198"/>
      <c r="M37" s="198"/>
      <c r="N37" s="198"/>
      <c r="O37" s="198"/>
      <c r="P37" s="198"/>
      <c r="Q37" s="28"/>
      <c r="R37" s="28"/>
      <c r="S37" s="193"/>
      <c r="T37" s="28"/>
      <c r="U37" s="28"/>
      <c r="V37" s="28"/>
      <c r="W37" s="28"/>
      <c r="X37" s="28"/>
      <c r="Y37" s="198"/>
      <c r="Z37" s="198"/>
      <c r="AA37" s="198"/>
      <c r="AB37" s="198"/>
      <c r="AC37" s="16"/>
      <c r="AE37" s="181"/>
      <c r="AF37" s="73"/>
      <c r="AG37" s="73"/>
    </row>
    <row r="38" spans="2:42" ht="15.75" customHeight="1" thickBot="1" x14ac:dyDescent="0.25">
      <c r="B38" s="130" t="s">
        <v>72</v>
      </c>
      <c r="C38" s="131"/>
      <c r="D38" s="131"/>
      <c r="E38" s="131"/>
      <c r="F38" s="131"/>
      <c r="G38" s="131"/>
      <c r="H38" s="131"/>
      <c r="I38" s="131"/>
      <c r="J38" s="131"/>
      <c r="K38" s="131"/>
      <c r="L38" s="131"/>
      <c r="M38" s="131"/>
      <c r="N38" s="131"/>
      <c r="O38" s="131"/>
      <c r="P38" s="84"/>
      <c r="Q38" s="14"/>
      <c r="R38" s="14"/>
      <c r="S38" s="192"/>
      <c r="T38" s="28"/>
      <c r="U38" s="28"/>
      <c r="V38" s="28"/>
      <c r="W38" s="28"/>
      <c r="X38" s="28"/>
      <c r="Y38" s="28"/>
      <c r="Z38" s="28"/>
      <c r="AA38" s="28"/>
      <c r="AB38" s="72"/>
      <c r="AC38" s="184" t="str">
        <f>IF(OR(AJ43=TRUE,AJ44=TRUE,AJ45=TRUE,AJ46=TRUE),"Projet exempté","Projet soumis")</f>
        <v>Projet soumis</v>
      </c>
      <c r="AD38" s="61"/>
      <c r="AE38" s="61"/>
      <c r="AF38" s="61"/>
      <c r="AG38" s="61"/>
      <c r="AH38" s="61"/>
      <c r="AM38" s="149"/>
    </row>
    <row r="39" spans="2:42" ht="8.1" customHeight="1" x14ac:dyDescent="0.2">
      <c r="B39" s="35"/>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16"/>
      <c r="AD39" s="61"/>
      <c r="AE39" s="61"/>
      <c r="AF39" s="61"/>
      <c r="AG39" s="61"/>
      <c r="AH39" s="61"/>
    </row>
    <row r="40" spans="2:42" ht="17.25" customHeight="1" x14ac:dyDescent="0.2">
      <c r="B40" s="35"/>
      <c r="C40" s="72"/>
      <c r="D40" s="28" t="s">
        <v>37</v>
      </c>
      <c r="E40" s="28"/>
      <c r="F40" s="28"/>
      <c r="G40" s="28"/>
      <c r="H40" s="763"/>
      <c r="I40" s="763"/>
      <c r="J40" s="763"/>
      <c r="K40" s="144" t="s">
        <v>112</v>
      </c>
      <c r="L40" s="72"/>
      <c r="M40" s="72"/>
      <c r="N40" s="72"/>
      <c r="O40" s="72"/>
      <c r="P40" s="72"/>
      <c r="Q40" s="72"/>
      <c r="R40" s="72"/>
      <c r="S40" s="72"/>
      <c r="T40" s="72"/>
      <c r="U40" s="72"/>
      <c r="V40" s="72"/>
      <c r="W40" s="72"/>
      <c r="X40" s="72"/>
      <c r="Y40" s="72"/>
      <c r="Z40" s="72"/>
      <c r="AA40" s="72"/>
      <c r="AB40" s="72"/>
      <c r="AC40" s="16"/>
      <c r="AD40" s="61"/>
      <c r="AE40" s="61"/>
      <c r="AF40" s="61"/>
      <c r="AG40" s="61"/>
      <c r="AH40" s="61"/>
    </row>
    <row r="41" spans="2:42" ht="8.1" customHeight="1" x14ac:dyDescent="0.2">
      <c r="B41" s="35"/>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16"/>
      <c r="AD41" s="61"/>
      <c r="AE41" s="61"/>
      <c r="AF41" s="61"/>
      <c r="AG41" s="61"/>
      <c r="AH41" s="61"/>
    </row>
    <row r="42" spans="2:42" ht="8.1" customHeight="1" x14ac:dyDescent="0.2">
      <c r="B42" s="35"/>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16"/>
      <c r="AD42" s="61"/>
      <c r="AE42" s="61"/>
      <c r="AF42" s="61"/>
      <c r="AG42" s="61"/>
      <c r="AH42" s="61"/>
    </row>
    <row r="43" spans="2:42" ht="15.75" customHeight="1" x14ac:dyDescent="0.2">
      <c r="B43" s="28"/>
      <c r="C43" s="26"/>
      <c r="D43" s="26"/>
      <c r="E43" s="28" t="s">
        <v>62</v>
      </c>
      <c r="F43" s="27"/>
      <c r="G43" s="27"/>
      <c r="H43" s="27"/>
      <c r="I43" s="27"/>
      <c r="J43" s="27"/>
      <c r="K43" s="27"/>
      <c r="L43" s="27"/>
      <c r="M43" s="27"/>
      <c r="N43" s="27"/>
      <c r="O43" s="27"/>
      <c r="P43" s="27"/>
      <c r="Q43" s="27"/>
      <c r="R43" s="27"/>
      <c r="S43" s="27"/>
      <c r="T43" s="27"/>
      <c r="U43" s="27"/>
      <c r="V43" s="27"/>
      <c r="W43" s="27"/>
      <c r="X43" s="27"/>
      <c r="Y43" s="27"/>
      <c r="Z43" s="27"/>
      <c r="AA43" s="27"/>
      <c r="AB43" s="26"/>
      <c r="AC43" s="27"/>
      <c r="AD43" s="27"/>
      <c r="AE43" s="27"/>
      <c r="AF43" s="27"/>
      <c r="AG43" s="27"/>
      <c r="AH43" s="27"/>
      <c r="AJ43" s="149" t="b">
        <v>0</v>
      </c>
    </row>
    <row r="44" spans="2:42" ht="15.75" customHeight="1" x14ac:dyDescent="0.2">
      <c r="B44" s="28"/>
      <c r="C44" s="26"/>
      <c r="D44" s="26"/>
      <c r="E44" s="28" t="s">
        <v>40</v>
      </c>
      <c r="F44" s="27"/>
      <c r="G44" s="27"/>
      <c r="H44" s="27"/>
      <c r="I44" s="27"/>
      <c r="J44" s="27"/>
      <c r="K44" s="27"/>
      <c r="L44" s="27"/>
      <c r="M44" s="27"/>
      <c r="N44" s="27"/>
      <c r="O44" s="27"/>
      <c r="P44" s="27"/>
      <c r="Q44" s="27"/>
      <c r="R44" s="27"/>
      <c r="S44" s="27"/>
      <c r="T44" s="27"/>
      <c r="U44" s="27"/>
      <c r="V44" s="27"/>
      <c r="W44" s="27"/>
      <c r="X44" s="27"/>
      <c r="Y44" s="27"/>
      <c r="Z44" s="27"/>
      <c r="AA44" s="29"/>
      <c r="AB44" s="27"/>
      <c r="AC44" s="27"/>
      <c r="AD44" s="27"/>
      <c r="AE44" s="27"/>
      <c r="AF44" s="27"/>
      <c r="AG44" s="27"/>
      <c r="AH44" s="27"/>
      <c r="AJ44" s="149" t="b">
        <v>0</v>
      </c>
    </row>
    <row r="45" spans="2:42" ht="15.75" customHeight="1" x14ac:dyDescent="0.2">
      <c r="B45" s="28"/>
      <c r="C45" s="26"/>
      <c r="D45" s="26"/>
      <c r="E45" s="28" t="s">
        <v>41</v>
      </c>
      <c r="F45" s="27"/>
      <c r="G45" s="27"/>
      <c r="H45" s="27"/>
      <c r="I45" s="27"/>
      <c r="J45" s="27"/>
      <c r="K45" s="27"/>
      <c r="L45" s="27"/>
      <c r="M45" s="27"/>
      <c r="N45" s="27"/>
      <c r="O45" s="27"/>
      <c r="P45" s="27"/>
      <c r="Q45" s="27"/>
      <c r="R45" s="27"/>
      <c r="S45" s="27"/>
      <c r="T45" s="27"/>
      <c r="U45" s="27"/>
      <c r="V45" s="27"/>
      <c r="W45" s="27"/>
      <c r="X45" s="27"/>
      <c r="Y45" s="27"/>
      <c r="Z45" s="27"/>
      <c r="AA45" s="29"/>
      <c r="AB45" s="27"/>
      <c r="AC45" s="27"/>
      <c r="AD45" s="27"/>
      <c r="AE45" s="27"/>
      <c r="AF45" s="27"/>
      <c r="AG45" s="27"/>
      <c r="AH45" s="27"/>
      <c r="AJ45" s="149" t="b">
        <v>0</v>
      </c>
    </row>
    <row r="46" spans="2:42" ht="15.75" customHeight="1" x14ac:dyDescent="0.2">
      <c r="B46" s="28"/>
      <c r="C46" s="26"/>
      <c r="D46" s="26"/>
      <c r="E46" s="28" t="s">
        <v>63</v>
      </c>
      <c r="F46" s="27"/>
      <c r="G46" s="27"/>
      <c r="H46" s="27"/>
      <c r="I46" s="27"/>
      <c r="J46" s="27"/>
      <c r="K46" s="27"/>
      <c r="L46" s="27"/>
      <c r="M46" s="27"/>
      <c r="N46" s="27"/>
      <c r="O46" s="27"/>
      <c r="P46" s="27"/>
      <c r="Q46" s="27"/>
      <c r="R46" s="27"/>
      <c r="S46" s="27"/>
      <c r="T46" s="27"/>
      <c r="U46" s="27"/>
      <c r="V46" s="27"/>
      <c r="W46" s="27"/>
      <c r="X46" s="27"/>
      <c r="Y46" s="27"/>
      <c r="Z46" s="27"/>
      <c r="AA46" s="29"/>
      <c r="AB46" s="27"/>
      <c r="AC46" s="27"/>
      <c r="AD46" s="27"/>
      <c r="AE46" s="27"/>
      <c r="AF46" s="27"/>
      <c r="AG46" s="27"/>
      <c r="AH46" s="27"/>
      <c r="AJ46" s="149" t="b">
        <v>0</v>
      </c>
    </row>
    <row r="47" spans="2:42" ht="8.1" customHeight="1" x14ac:dyDescent="0.2">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row>
    <row r="48" spans="2:42" ht="15.75" customHeight="1" x14ac:dyDescent="0.2">
      <c r="B48" s="28"/>
      <c r="C48" s="81"/>
      <c r="D48" s="85" t="str">
        <f>IF(OR(AJ43=TRUE,AJ44=TRUE,AJ45=TRUE,AJ46=TRUE),"Fournir les preuves en annexe","")</f>
        <v/>
      </c>
      <c r="E48" s="28"/>
      <c r="F48" s="28"/>
      <c r="G48" s="28"/>
      <c r="H48" s="28"/>
      <c r="I48" s="28"/>
      <c r="J48" s="28"/>
      <c r="K48" s="18"/>
      <c r="L48" s="18"/>
      <c r="M48" s="18"/>
      <c r="N48" s="18"/>
      <c r="O48" s="18"/>
      <c r="P48" s="28"/>
      <c r="Q48" s="18"/>
      <c r="R48" s="182" t="s">
        <v>51</v>
      </c>
      <c r="S48" s="30"/>
      <c r="T48" s="18"/>
      <c r="U48" s="30"/>
      <c r="V48" s="18"/>
      <c r="W48" s="18"/>
      <c r="X48" s="18"/>
      <c r="Y48" s="18"/>
      <c r="Z48" s="18"/>
      <c r="AA48" s="18"/>
      <c r="AB48" s="28"/>
      <c r="AC48" s="766">
        <f>IF(AJ48&gt;30,30,AJ48)</f>
        <v>0</v>
      </c>
      <c r="AD48" s="766"/>
      <c r="AE48" s="766"/>
      <c r="AF48" s="767" t="s">
        <v>79</v>
      </c>
      <c r="AG48" s="767"/>
      <c r="AH48" s="96"/>
      <c r="AJ48" s="153">
        <f>IF(AC38="Projet exempté",0,20*H40/1000)</f>
        <v>0</v>
      </c>
      <c r="AK48" s="149" t="s">
        <v>82</v>
      </c>
    </row>
    <row r="49" spans="2:39" ht="15.75" customHeight="1" x14ac:dyDescent="0.2">
      <c r="B49" s="28"/>
      <c r="C49" s="36"/>
      <c r="E49" s="28"/>
      <c r="F49" s="28"/>
      <c r="G49" s="28"/>
      <c r="H49" s="28"/>
      <c r="I49" s="28"/>
      <c r="J49" s="28"/>
      <c r="K49" s="18"/>
      <c r="L49" s="18"/>
      <c r="M49" s="18"/>
      <c r="N49" s="18"/>
      <c r="O49" s="18"/>
      <c r="P49" s="28"/>
      <c r="Q49" s="18"/>
      <c r="R49" s="183" t="s">
        <v>84</v>
      </c>
      <c r="S49" s="30"/>
      <c r="T49" s="18"/>
      <c r="U49" s="30"/>
      <c r="V49" s="18"/>
      <c r="W49" s="82"/>
      <c r="X49" s="82"/>
      <c r="Y49" s="82"/>
      <c r="Z49" s="82"/>
      <c r="AA49" s="82"/>
      <c r="AB49" s="28"/>
      <c r="AC49" s="768">
        <f>AJ49</f>
        <v>0</v>
      </c>
      <c r="AD49" s="768"/>
      <c r="AE49" s="768"/>
      <c r="AF49" s="769" t="s">
        <v>46</v>
      </c>
      <c r="AG49" s="769"/>
      <c r="AH49" s="74"/>
      <c r="AJ49" s="153">
        <f>AC48*AN27</f>
        <v>0</v>
      </c>
      <c r="AK49" s="149" t="s">
        <v>45</v>
      </c>
      <c r="AL49" s="149" t="s">
        <v>92</v>
      </c>
    </row>
    <row r="50" spans="2:39" ht="8.1" customHeight="1" thickBo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84"/>
      <c r="AD50" s="14"/>
      <c r="AE50" s="14"/>
      <c r="AF50" s="14"/>
      <c r="AG50" s="14"/>
      <c r="AH50" s="14"/>
      <c r="AJ50" s="151"/>
    </row>
    <row r="51" spans="2:39" ht="8.1" customHeight="1"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78"/>
      <c r="AC51" s="174"/>
      <c r="AD51" s="28"/>
      <c r="AE51" s="28"/>
      <c r="AF51" s="28"/>
      <c r="AG51" s="28"/>
      <c r="AH51" s="28"/>
    </row>
    <row r="52" spans="2:39" ht="18.75" customHeight="1" x14ac:dyDescent="0.2">
      <c r="B52" s="34" t="s">
        <v>138</v>
      </c>
      <c r="C52" s="34"/>
      <c r="D52" s="34" t="s">
        <v>123</v>
      </c>
      <c r="E52" s="34"/>
      <c r="F52" s="34"/>
      <c r="G52" s="34"/>
      <c r="H52" s="34"/>
      <c r="I52" s="34"/>
      <c r="J52" s="34"/>
      <c r="K52" s="34"/>
      <c r="L52" s="34"/>
      <c r="M52" s="34"/>
      <c r="N52" s="34"/>
      <c r="O52" s="34"/>
      <c r="P52" s="34"/>
      <c r="Q52" s="34"/>
      <c r="R52" s="34"/>
      <c r="S52" s="34"/>
      <c r="T52" s="34"/>
      <c r="U52" s="34"/>
      <c r="V52" s="34"/>
      <c r="W52" s="34"/>
      <c r="X52" s="34"/>
      <c r="Y52" s="34"/>
      <c r="Z52" s="34"/>
      <c r="AA52" s="34"/>
      <c r="AB52" s="179"/>
      <c r="AC52" s="77"/>
      <c r="AE52" s="78"/>
      <c r="AF52" s="78"/>
      <c r="AG52" s="78"/>
      <c r="AH52" s="73"/>
      <c r="AI52" s="77"/>
      <c r="AJ52" s="154"/>
    </row>
    <row r="53" spans="2:39" ht="15.75" customHeight="1" thickBot="1" x14ac:dyDescent="0.25">
      <c r="B53" s="135" t="s">
        <v>125</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180"/>
      <c r="AC53" s="77"/>
      <c r="AD53" s="77"/>
      <c r="AE53" s="77"/>
      <c r="AF53" s="77"/>
      <c r="AG53" s="77"/>
      <c r="AH53" s="77"/>
      <c r="AI53" s="77"/>
    </row>
    <row r="54" spans="2:39" ht="8.1" customHeight="1" x14ac:dyDescent="0.2">
      <c r="B54" s="8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row>
    <row r="55" spans="2:39" ht="15.75" customHeight="1" x14ac:dyDescent="0.2">
      <c r="B55" s="86"/>
      <c r="C55" s="77"/>
      <c r="D55" s="77" t="s">
        <v>37</v>
      </c>
      <c r="E55" s="77"/>
      <c r="F55" s="77"/>
      <c r="G55" s="77"/>
      <c r="H55" s="770"/>
      <c r="I55" s="770"/>
      <c r="J55" s="770"/>
      <c r="K55" s="145" t="s">
        <v>113</v>
      </c>
      <c r="L55" s="77"/>
      <c r="M55" s="77"/>
      <c r="N55" s="77"/>
      <c r="O55" s="77"/>
      <c r="P55" s="28"/>
      <c r="Q55" s="28"/>
      <c r="R55" s="28"/>
      <c r="S55" s="28"/>
      <c r="T55" s="28"/>
      <c r="U55" s="28"/>
      <c r="V55" s="28"/>
      <c r="W55" s="28"/>
      <c r="X55" s="28"/>
      <c r="Y55" s="77"/>
      <c r="Z55" s="77"/>
      <c r="AA55" s="77"/>
      <c r="AB55" s="77"/>
      <c r="AC55" s="77"/>
      <c r="AD55" s="77"/>
      <c r="AE55" s="77"/>
      <c r="AF55" s="77"/>
      <c r="AG55" s="77"/>
      <c r="AH55" s="77"/>
      <c r="AI55" s="77"/>
    </row>
    <row r="56" spans="2:39" ht="8.1" customHeight="1" x14ac:dyDescent="0.2">
      <c r="B56" s="86"/>
      <c r="C56" s="77"/>
      <c r="D56" s="77"/>
      <c r="E56" s="77"/>
      <c r="F56" s="77"/>
      <c r="G56" s="77"/>
      <c r="H56" s="77"/>
      <c r="I56" s="77"/>
      <c r="J56" s="77"/>
      <c r="K56" s="77"/>
      <c r="L56" s="77"/>
      <c r="M56" s="77"/>
      <c r="N56" s="77"/>
      <c r="O56" s="77"/>
      <c r="P56" s="77"/>
      <c r="Q56" s="77"/>
      <c r="R56" s="77"/>
      <c r="S56" s="77"/>
      <c r="T56" s="142"/>
      <c r="U56" s="142"/>
      <c r="V56" s="142"/>
      <c r="W56" s="87"/>
      <c r="X56" s="77"/>
      <c r="Y56" s="77"/>
      <c r="Z56" s="77"/>
      <c r="AA56" s="77"/>
      <c r="AB56" s="77"/>
      <c r="AC56" s="77"/>
      <c r="AD56" s="77"/>
      <c r="AE56" s="77"/>
      <c r="AF56" s="77"/>
      <c r="AG56" s="77"/>
      <c r="AH56" s="77"/>
      <c r="AI56" s="77"/>
    </row>
    <row r="57" spans="2:39" ht="15.75" customHeight="1" x14ac:dyDescent="0.2">
      <c r="B57" s="77"/>
      <c r="C57" s="77"/>
      <c r="D57" s="77"/>
      <c r="E57" s="105" t="s">
        <v>122</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149" t="b">
        <v>0</v>
      </c>
    </row>
    <row r="58" spans="2:39" ht="7.5" customHeight="1" x14ac:dyDescent="0.2">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2:39" ht="15.75" customHeight="1" x14ac:dyDescent="0.2">
      <c r="B59" s="77"/>
      <c r="C59" s="77"/>
      <c r="D59" s="77"/>
      <c r="E59" s="77"/>
      <c r="F59" s="77"/>
      <c r="G59" s="77"/>
      <c r="H59" s="77"/>
      <c r="I59" s="77"/>
      <c r="J59" s="77"/>
      <c r="K59" s="77"/>
      <c r="L59" s="77"/>
      <c r="M59" s="77"/>
      <c r="N59" s="77"/>
      <c r="O59" s="77"/>
      <c r="P59" s="77"/>
      <c r="Q59" s="77"/>
      <c r="R59" s="183" t="s">
        <v>51</v>
      </c>
      <c r="S59" s="77"/>
      <c r="T59" s="77"/>
      <c r="U59" s="77"/>
      <c r="V59" s="77"/>
      <c r="W59" s="77"/>
      <c r="X59" s="77"/>
      <c r="Y59" s="77"/>
      <c r="Z59" s="77"/>
      <c r="AA59" s="77"/>
      <c r="AB59" s="28"/>
      <c r="AC59" s="771">
        <f>IF(AJ57,H55*5/1000,0)</f>
        <v>0</v>
      </c>
      <c r="AD59" s="771"/>
      <c r="AE59" s="771"/>
      <c r="AF59" s="772" t="s">
        <v>79</v>
      </c>
      <c r="AG59" s="772"/>
      <c r="AH59" s="77"/>
      <c r="AI59" s="77"/>
    </row>
    <row r="60" spans="2:39" ht="15.75" customHeight="1" x14ac:dyDescent="0.2">
      <c r="B60" s="77"/>
      <c r="C60" s="77"/>
      <c r="D60" s="77"/>
      <c r="E60" s="77"/>
      <c r="F60" s="77"/>
      <c r="G60" s="77"/>
      <c r="H60" s="77"/>
      <c r="I60" s="77"/>
      <c r="J60" s="77"/>
      <c r="K60" s="77"/>
      <c r="L60" s="77"/>
      <c r="M60" s="77"/>
      <c r="N60" s="77"/>
      <c r="O60" s="77"/>
      <c r="P60" s="77"/>
      <c r="Q60" s="77"/>
      <c r="R60" s="183" t="s">
        <v>84</v>
      </c>
      <c r="S60" s="77"/>
      <c r="T60" s="77"/>
      <c r="U60" s="77"/>
      <c r="V60" s="77"/>
      <c r="W60" s="77"/>
      <c r="X60" s="77"/>
      <c r="Y60" s="77"/>
      <c r="Z60" s="77"/>
      <c r="AA60" s="77"/>
      <c r="AB60" s="28"/>
      <c r="AC60" s="768">
        <f>AC59*AN27</f>
        <v>0</v>
      </c>
      <c r="AD60" s="768"/>
      <c r="AE60" s="768"/>
      <c r="AF60" s="769" t="s">
        <v>46</v>
      </c>
      <c r="AG60" s="769"/>
      <c r="AH60" s="77"/>
      <c r="AI60" s="77"/>
    </row>
    <row r="61" spans="2:39" ht="8.1" customHeight="1" x14ac:dyDescent="0.2">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row>
    <row r="62" spans="2:39" ht="15.75" customHeight="1" x14ac:dyDescent="0.2">
      <c r="B62" s="77"/>
      <c r="C62" s="77"/>
      <c r="D62" s="77"/>
      <c r="E62" s="77" t="s">
        <v>124</v>
      </c>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149" t="b">
        <v>0</v>
      </c>
    </row>
    <row r="63" spans="2:39" ht="8.1" customHeight="1" x14ac:dyDescent="0.2">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row>
    <row r="64" spans="2:39" ht="15.75" customHeight="1" x14ac:dyDescent="0.2">
      <c r="B64" s="77"/>
      <c r="C64" s="77"/>
      <c r="D64" s="77"/>
      <c r="E64" s="77"/>
      <c r="F64" s="77"/>
      <c r="G64" s="77"/>
      <c r="H64" s="77"/>
      <c r="I64" s="77"/>
      <c r="J64" s="77"/>
      <c r="K64" s="77"/>
      <c r="L64" s="77"/>
      <c r="M64" s="77"/>
      <c r="N64" s="77"/>
      <c r="O64" s="77"/>
      <c r="P64" s="183" t="s">
        <v>85</v>
      </c>
      <c r="Q64" s="77"/>
      <c r="S64" s="77"/>
      <c r="T64" s="77"/>
      <c r="U64" s="77"/>
      <c r="V64" s="77"/>
      <c r="W64" s="77"/>
      <c r="X64" s="77"/>
      <c r="Y64" s="77"/>
      <c r="Z64" s="77"/>
      <c r="AA64" s="77"/>
      <c r="AC64" s="775"/>
      <c r="AD64" s="775"/>
      <c r="AE64" s="775"/>
      <c r="AF64" s="776" t="s">
        <v>46</v>
      </c>
      <c r="AG64" s="776"/>
      <c r="AH64" s="77"/>
      <c r="AI64" s="77"/>
      <c r="AJ64" s="155">
        <f>ROUNDDOWN(AC60+AC64,1)</f>
        <v>0</v>
      </c>
      <c r="AK64" s="149" t="s">
        <v>45</v>
      </c>
      <c r="AL64" s="149" t="s">
        <v>91</v>
      </c>
      <c r="AM64" s="149"/>
    </row>
    <row r="65" spans="2:39" ht="15.75" customHeight="1" x14ac:dyDescent="0.2">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89"/>
      <c r="AC65" s="175"/>
      <c r="AD65" s="175"/>
      <c r="AE65" s="175"/>
      <c r="AF65" s="176"/>
      <c r="AG65" s="177" t="str">
        <f>IF(AJ64&gt;0,"Fournir justification des besoins selon OcEne art.63","")</f>
        <v/>
      </c>
      <c r="AH65" s="77"/>
      <c r="AI65" s="77"/>
      <c r="AJ65" s="155"/>
      <c r="AK65" s="149"/>
      <c r="AM65" s="149"/>
    </row>
    <row r="66" spans="2:39" ht="8.1" customHeight="1" thickBot="1" x14ac:dyDescent="0.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4"/>
      <c r="AC66" s="88"/>
      <c r="AD66" s="88"/>
      <c r="AE66" s="88"/>
      <c r="AF66" s="88"/>
      <c r="AG66" s="88"/>
      <c r="AH66" s="88"/>
      <c r="AI66" s="77"/>
    </row>
    <row r="67" spans="2:39" ht="8.1" customHeight="1" x14ac:dyDescent="0.2">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5"/>
      <c r="Z67" s="226"/>
      <c r="AA67" s="224"/>
      <c r="AB67" s="224"/>
      <c r="AC67" s="77"/>
      <c r="AD67" s="77"/>
      <c r="AE67" s="77"/>
      <c r="AF67" s="77"/>
      <c r="AG67" s="77"/>
      <c r="AH67" s="77"/>
      <c r="AI67" s="77"/>
    </row>
    <row r="68" spans="2:39" ht="15.75" customHeight="1" x14ac:dyDescent="0.2">
      <c r="B68" s="227" t="s">
        <v>170</v>
      </c>
      <c r="C68" s="227"/>
      <c r="D68" s="227" t="s">
        <v>139</v>
      </c>
      <c r="E68" s="227"/>
      <c r="F68" s="227"/>
      <c r="G68" s="227"/>
      <c r="H68" s="227"/>
      <c r="I68" s="227"/>
      <c r="J68" s="227"/>
      <c r="K68" s="227"/>
      <c r="L68" s="227"/>
      <c r="M68" s="227"/>
      <c r="N68" s="227"/>
      <c r="O68" s="227"/>
      <c r="P68" s="227"/>
      <c r="Q68" s="227"/>
      <c r="R68" s="227"/>
      <c r="S68" s="227"/>
      <c r="T68" s="227"/>
      <c r="U68" s="227"/>
      <c r="V68" s="227"/>
      <c r="W68" s="227"/>
      <c r="X68" s="227"/>
      <c r="Y68" s="228"/>
      <c r="Z68" s="229"/>
      <c r="AA68" s="227"/>
      <c r="AB68" s="227"/>
      <c r="AC68" s="82"/>
      <c r="AD68" s="230"/>
      <c r="AE68" s="231"/>
      <c r="AF68" s="231"/>
      <c r="AG68" s="231"/>
      <c r="AH68" s="231"/>
      <c r="AI68" s="77"/>
    </row>
    <row r="69" spans="2:39" ht="15.75" customHeight="1" thickBot="1" x14ac:dyDescent="0.25">
      <c r="B69" s="232" t="s">
        <v>130</v>
      </c>
      <c r="C69" s="88"/>
      <c r="D69" s="88"/>
      <c r="E69" s="88"/>
      <c r="F69" s="88"/>
      <c r="G69" s="88"/>
      <c r="H69" s="88"/>
      <c r="I69" s="88"/>
      <c r="J69" s="88"/>
      <c r="K69" s="88"/>
      <c r="L69" s="88"/>
      <c r="M69" s="88"/>
      <c r="N69" s="88"/>
      <c r="O69" s="88"/>
      <c r="P69" s="88"/>
      <c r="Q69" s="88"/>
      <c r="R69" s="88"/>
      <c r="S69" s="88"/>
      <c r="T69" s="88"/>
      <c r="U69" s="88"/>
      <c r="V69" s="88"/>
      <c r="W69" s="88"/>
      <c r="X69" s="88"/>
      <c r="Y69" s="180"/>
      <c r="Z69" s="187"/>
      <c r="AA69" s="77"/>
      <c r="AB69" s="77"/>
      <c r="AC69" s="233" t="str">
        <f>IF(AJ71=0,"",IF(OR(AJ71=1,AJ71=3,AJ71=6),"Projet exempté","Projet soumis"))</f>
        <v/>
      </c>
      <c r="AD69" s="234"/>
      <c r="AE69" s="235"/>
      <c r="AF69" s="235"/>
      <c r="AG69" s="235"/>
      <c r="AH69" s="235"/>
      <c r="AI69" s="77"/>
    </row>
    <row r="70" spans="2:39" ht="8.1" customHeight="1" x14ac:dyDescent="0.2">
      <c r="B70" s="8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row>
    <row r="71" spans="2:39" ht="18.75" customHeight="1" x14ac:dyDescent="0.2">
      <c r="B71" s="236"/>
      <c r="C71" s="236"/>
      <c r="D71" s="600" t="s">
        <v>128</v>
      </c>
      <c r="E71" s="600"/>
      <c r="F71" s="600"/>
      <c r="G71" s="600"/>
      <c r="H71" s="600"/>
      <c r="I71" s="600"/>
      <c r="J71" s="600"/>
      <c r="K71" s="600"/>
      <c r="L71" s="600"/>
      <c r="M71" s="600"/>
      <c r="N71" s="600"/>
      <c r="O71" s="600"/>
      <c r="P71" s="600"/>
      <c r="Q71" s="600"/>
      <c r="R71" s="600"/>
      <c r="S71" s="600"/>
      <c r="T71" s="600"/>
      <c r="U71" s="600"/>
      <c r="V71" s="600"/>
      <c r="W71" s="600"/>
      <c r="X71" s="600"/>
      <c r="Y71" s="600"/>
      <c r="Z71" s="237" t="str">
        <f>IF(AJ71=1,"Fournir EN-VS-101b","")</f>
        <v/>
      </c>
      <c r="AA71" s="173"/>
      <c r="AB71" s="173"/>
      <c r="AC71" s="77"/>
      <c r="AD71" s="173"/>
      <c r="AE71" s="173"/>
      <c r="AF71" s="173"/>
      <c r="AG71" s="173"/>
      <c r="AH71" s="238"/>
      <c r="AI71" s="77"/>
      <c r="AJ71" s="149">
        <v>0</v>
      </c>
    </row>
    <row r="72" spans="2:39" ht="18.75" customHeight="1" x14ac:dyDescent="0.2">
      <c r="B72" s="236"/>
      <c r="C72" s="236"/>
      <c r="D72" s="77" t="s">
        <v>126</v>
      </c>
      <c r="E72" s="252"/>
      <c r="F72" s="252"/>
      <c r="G72" s="252"/>
      <c r="H72" s="252"/>
      <c r="I72" s="252"/>
      <c r="J72" s="252"/>
      <c r="K72" s="252"/>
      <c r="L72" s="252"/>
      <c r="M72" s="252"/>
      <c r="N72" s="252"/>
      <c r="O72" s="252"/>
      <c r="P72" s="252"/>
      <c r="Q72" s="252"/>
      <c r="R72" s="239"/>
      <c r="S72" s="239"/>
      <c r="T72" s="239"/>
      <c r="U72" s="239"/>
      <c r="V72" s="239"/>
      <c r="W72" s="239"/>
      <c r="X72" s="239"/>
      <c r="Y72" s="239"/>
      <c r="Z72" s="173"/>
      <c r="AA72" s="230"/>
      <c r="AB72" s="173"/>
      <c r="AC72" s="77"/>
      <c r="AD72" s="77"/>
      <c r="AE72" s="173"/>
      <c r="AF72" s="173"/>
      <c r="AG72" s="173"/>
      <c r="AH72" s="173"/>
      <c r="AI72" s="77"/>
    </row>
    <row r="73" spans="2:39" ht="18.75" customHeight="1" x14ac:dyDescent="0.2">
      <c r="B73" s="236"/>
      <c r="C73" s="236"/>
      <c r="D73" s="77" t="s">
        <v>127</v>
      </c>
      <c r="E73" s="252"/>
      <c r="F73" s="252"/>
      <c r="G73" s="252"/>
      <c r="H73" s="252"/>
      <c r="I73" s="252"/>
      <c r="J73" s="252"/>
      <c r="K73" s="252"/>
      <c r="L73" s="252"/>
      <c r="M73" s="252"/>
      <c r="N73" s="252"/>
      <c r="O73" s="252"/>
      <c r="P73" s="252"/>
      <c r="Q73" s="252"/>
      <c r="R73" s="173"/>
      <c r="S73" s="145"/>
      <c r="T73" s="173"/>
      <c r="U73" s="173"/>
      <c r="V73" s="173"/>
      <c r="W73" s="173"/>
      <c r="X73" s="173"/>
      <c r="Y73" s="173"/>
      <c r="Z73" s="173"/>
      <c r="AA73" s="173"/>
      <c r="AB73" s="173"/>
      <c r="AC73" s="173"/>
      <c r="AD73" s="173"/>
      <c r="AE73" s="173"/>
      <c r="AF73" s="173"/>
      <c r="AG73" s="173"/>
      <c r="AH73" s="173"/>
      <c r="AI73" s="77"/>
    </row>
    <row r="74" spans="2:39" ht="18.75" customHeight="1" x14ac:dyDescent="0.2">
      <c r="B74" s="236"/>
      <c r="C74" s="236"/>
      <c r="D74" s="77" t="s">
        <v>131</v>
      </c>
      <c r="E74" s="252"/>
      <c r="F74" s="252"/>
      <c r="G74" s="252"/>
      <c r="H74" s="252"/>
      <c r="I74" s="252"/>
      <c r="J74" s="252"/>
      <c r="K74" s="252"/>
      <c r="L74" s="252"/>
      <c r="M74" s="252"/>
      <c r="N74" s="252"/>
      <c r="O74" s="252"/>
      <c r="P74" s="252"/>
      <c r="Q74" s="252"/>
      <c r="R74" s="173"/>
      <c r="S74" s="145"/>
      <c r="T74" s="173"/>
      <c r="U74" s="173"/>
      <c r="V74" s="173"/>
      <c r="W74" s="173"/>
      <c r="X74" s="173"/>
      <c r="Y74" s="173"/>
      <c r="Z74" s="237" t="str">
        <f>IF(AJ71=5,"Fournir EN-VS-101a","")</f>
        <v/>
      </c>
      <c r="AA74" s="173"/>
      <c r="AB74" s="173"/>
      <c r="AC74" s="173"/>
      <c r="AD74" s="173"/>
      <c r="AE74" s="173"/>
      <c r="AF74" s="173"/>
      <c r="AG74" s="173"/>
      <c r="AH74" s="173"/>
      <c r="AI74" s="77"/>
    </row>
    <row r="75" spans="2:39" ht="18.75" customHeight="1" x14ac:dyDescent="0.2">
      <c r="B75" s="236"/>
      <c r="C75" s="236"/>
      <c r="D75" s="77" t="s">
        <v>129</v>
      </c>
      <c r="E75" s="77"/>
      <c r="F75" s="77"/>
      <c r="G75" s="77"/>
      <c r="H75" s="77"/>
      <c r="I75" s="77"/>
      <c r="J75" s="77"/>
      <c r="K75" s="77"/>
      <c r="L75" s="77"/>
      <c r="M75" s="77"/>
      <c r="N75" s="77"/>
      <c r="O75" s="77"/>
      <c r="P75" s="77"/>
      <c r="Q75" s="77"/>
      <c r="R75" s="173"/>
      <c r="S75" s="173"/>
      <c r="T75" s="173"/>
      <c r="U75" s="173"/>
      <c r="V75" s="173"/>
      <c r="W75" s="237" t="str">
        <f>IF(AJ71=6,"Fournir certificat provisoire correspondant","")</f>
        <v/>
      </c>
      <c r="X75" s="173"/>
      <c r="Y75" s="173"/>
      <c r="Z75" s="173"/>
      <c r="AA75" s="173"/>
      <c r="AB75" s="173"/>
      <c r="AC75" s="173"/>
      <c r="AD75" s="173"/>
      <c r="AE75" s="173"/>
      <c r="AF75" s="173"/>
      <c r="AG75" s="173"/>
      <c r="AH75" s="173"/>
      <c r="AI75" s="77"/>
    </row>
    <row r="76" spans="2:39" ht="6.75" customHeight="1" x14ac:dyDescent="0.2">
      <c r="B76" s="240"/>
      <c r="C76" s="240"/>
      <c r="D76" s="77"/>
      <c r="E76" s="252"/>
      <c r="F76" s="252"/>
      <c r="G76" s="252"/>
      <c r="H76" s="252"/>
      <c r="I76" s="252"/>
      <c r="J76" s="252"/>
      <c r="K76" s="252"/>
      <c r="L76" s="252"/>
      <c r="M76" s="252"/>
      <c r="N76" s="252"/>
      <c r="O76" s="197"/>
      <c r="P76" s="252"/>
      <c r="Q76" s="252"/>
      <c r="R76" s="173"/>
      <c r="S76" s="173"/>
      <c r="T76" s="173"/>
      <c r="U76" s="173"/>
      <c r="V76" s="173"/>
      <c r="W76" s="173"/>
      <c r="X76" s="173"/>
      <c r="Y76" s="173"/>
      <c r="Z76" s="173"/>
      <c r="AA76" s="173"/>
      <c r="AB76" s="173"/>
      <c r="AC76" s="173"/>
      <c r="AD76" s="173"/>
      <c r="AE76" s="173"/>
      <c r="AF76" s="173"/>
      <c r="AG76" s="173"/>
      <c r="AH76" s="173"/>
      <c r="AI76" s="77"/>
    </row>
    <row r="77" spans="2:39" ht="15.75" customHeight="1" x14ac:dyDescent="0.2">
      <c r="B77" s="77"/>
      <c r="C77" s="77"/>
      <c r="D77" s="77"/>
      <c r="E77" s="77"/>
      <c r="F77" s="77"/>
      <c r="G77" s="77"/>
      <c r="H77" s="77"/>
      <c r="I77" s="77"/>
      <c r="J77" s="77"/>
      <c r="K77" s="77"/>
      <c r="L77" s="77"/>
      <c r="M77" s="77"/>
      <c r="N77" s="241"/>
      <c r="O77" s="77"/>
      <c r="P77" s="234"/>
      <c r="Q77" s="234"/>
      <c r="R77" s="77"/>
      <c r="S77" s="242"/>
      <c r="T77" s="173"/>
      <c r="U77" s="173"/>
      <c r="V77" s="173"/>
      <c r="W77" s="243" t="s">
        <v>52</v>
      </c>
      <c r="X77" s="173"/>
      <c r="Y77" s="230"/>
      <c r="Z77" s="173"/>
      <c r="AA77" s="173"/>
      <c r="AB77" s="87" t="s">
        <v>53</v>
      </c>
      <c r="AC77" s="173"/>
      <c r="AD77" s="173"/>
      <c r="AE77" s="173"/>
      <c r="AF77" s="173"/>
      <c r="AG77" s="173"/>
      <c r="AH77" s="173"/>
      <c r="AI77" s="77"/>
    </row>
    <row r="78" spans="2:39" ht="15.75" customHeight="1" x14ac:dyDescent="0.2">
      <c r="B78" s="77"/>
      <c r="C78" s="77" t="s">
        <v>61</v>
      </c>
      <c r="D78" s="77"/>
      <c r="E78" s="77"/>
      <c r="F78" s="77"/>
      <c r="G78" s="77"/>
      <c r="H78" s="77"/>
      <c r="I78" s="77"/>
      <c r="J78" s="77"/>
      <c r="K78" s="77"/>
      <c r="L78" s="77"/>
      <c r="M78" s="777"/>
      <c r="N78" s="777"/>
      <c r="O78" s="244" t="s">
        <v>43</v>
      </c>
      <c r="P78" s="240"/>
      <c r="Q78" s="90"/>
      <c r="R78" s="243"/>
      <c r="S78" s="77"/>
      <c r="T78" s="173"/>
      <c r="U78" s="173"/>
      <c r="V78" s="173"/>
      <c r="W78" s="173"/>
      <c r="X78" s="173"/>
      <c r="Y78" s="245" t="s">
        <v>47</v>
      </c>
      <c r="Z78" s="173"/>
      <c r="AA78" s="77"/>
      <c r="AB78" s="77" t="s">
        <v>48</v>
      </c>
      <c r="AC78" s="173"/>
      <c r="AD78" s="173"/>
      <c r="AE78" s="173"/>
      <c r="AF78" s="173"/>
      <c r="AG78" s="173"/>
      <c r="AH78" s="173"/>
      <c r="AI78" s="77"/>
      <c r="AJ78" s="149" t="b">
        <v>0</v>
      </c>
    </row>
    <row r="79" spans="2:39" ht="15.75" customHeight="1" x14ac:dyDescent="0.2">
      <c r="B79" s="77"/>
      <c r="C79" s="246" t="s">
        <v>56</v>
      </c>
      <c r="D79" s="247"/>
      <c r="E79" s="247"/>
      <c r="F79" s="247"/>
      <c r="G79" s="247"/>
      <c r="H79" s="247"/>
      <c r="I79" s="247"/>
      <c r="J79" s="247"/>
      <c r="K79" s="247"/>
      <c r="L79" s="247"/>
      <c r="M79" s="773"/>
      <c r="N79" s="773"/>
      <c r="O79" s="246"/>
      <c r="P79" s="246"/>
      <c r="Q79" s="90"/>
      <c r="R79" s="243"/>
      <c r="S79" s="77"/>
      <c r="T79" s="173"/>
      <c r="U79" s="173"/>
      <c r="V79" s="77" t="s">
        <v>44</v>
      </c>
      <c r="W79" s="230"/>
      <c r="X79" s="173"/>
      <c r="Y79" s="230"/>
      <c r="Z79" s="173"/>
      <c r="AA79" s="90"/>
      <c r="AB79" s="77" t="s">
        <v>49</v>
      </c>
      <c r="AC79" s="173"/>
      <c r="AD79" s="173"/>
      <c r="AE79" s="173"/>
      <c r="AF79" s="173"/>
      <c r="AG79" s="173"/>
      <c r="AH79" s="173"/>
      <c r="AI79" s="77"/>
      <c r="AJ79" s="149" t="b">
        <v>0</v>
      </c>
    </row>
    <row r="80" spans="2:39" ht="15.75" customHeight="1" x14ac:dyDescent="0.2">
      <c r="B80" s="77"/>
      <c r="C80" s="237" t="str">
        <f>IF(M78&lt;&gt;0,"Fournir EN-VS-110","")</f>
        <v/>
      </c>
      <c r="D80" s="77"/>
      <c r="E80" s="77"/>
      <c r="F80" s="77"/>
      <c r="G80" s="77"/>
      <c r="H80" s="77"/>
      <c r="I80" s="245"/>
      <c r="J80" s="245"/>
      <c r="K80" s="245"/>
      <c r="L80" s="245"/>
      <c r="M80" s="245"/>
      <c r="N80" s="245"/>
      <c r="O80" s="77"/>
      <c r="P80" s="489"/>
      <c r="Q80" s="489"/>
      <c r="R80" s="243"/>
      <c r="S80" s="77"/>
      <c r="T80" s="173"/>
      <c r="U80" s="173"/>
      <c r="V80" s="173"/>
      <c r="W80" s="173"/>
      <c r="X80" s="173"/>
      <c r="Y80" s="173"/>
      <c r="Z80" s="173"/>
      <c r="AA80" s="173"/>
      <c r="AB80" s="173"/>
      <c r="AC80" s="173"/>
      <c r="AD80" s="173"/>
      <c r="AE80" s="173"/>
      <c r="AF80" s="173"/>
      <c r="AG80" s="173"/>
      <c r="AH80" s="173"/>
      <c r="AI80" s="77"/>
    </row>
    <row r="81" spans="1:42" ht="8.1" customHeight="1" x14ac:dyDescent="0.2">
      <c r="B81" s="77"/>
      <c r="C81" s="77"/>
      <c r="D81" s="77"/>
      <c r="E81" s="77"/>
      <c r="F81" s="77"/>
      <c r="G81" s="77"/>
      <c r="H81" s="77"/>
      <c r="I81" s="245"/>
      <c r="J81" s="245"/>
      <c r="K81" s="245"/>
      <c r="L81" s="245"/>
      <c r="M81" s="245"/>
      <c r="N81" s="245"/>
      <c r="O81" s="77"/>
      <c r="P81" s="253"/>
      <c r="Q81" s="253"/>
      <c r="R81" s="243"/>
      <c r="S81" s="77"/>
      <c r="T81" s="173"/>
      <c r="U81" s="173"/>
      <c r="V81" s="173"/>
      <c r="W81" s="173"/>
      <c r="X81" s="173"/>
      <c r="Y81" s="173"/>
      <c r="Z81" s="173"/>
      <c r="AA81" s="173"/>
      <c r="AB81" s="173"/>
      <c r="AC81" s="173"/>
      <c r="AD81" s="173"/>
      <c r="AE81" s="173"/>
      <c r="AF81" s="173"/>
      <c r="AG81" s="173"/>
      <c r="AH81" s="173"/>
      <c r="AI81" s="77"/>
    </row>
    <row r="82" spans="1:42" ht="15.75" customHeight="1" x14ac:dyDescent="0.2">
      <c r="B82" s="77"/>
      <c r="C82" s="774" t="s">
        <v>68</v>
      </c>
      <c r="D82" s="774"/>
      <c r="E82" s="774"/>
      <c r="F82" s="774"/>
      <c r="G82" s="774"/>
      <c r="H82" s="774"/>
      <c r="I82" s="774"/>
      <c r="J82" s="774"/>
      <c r="K82" s="774"/>
      <c r="L82" s="774"/>
      <c r="M82" s="774"/>
      <c r="N82" s="774"/>
      <c r="O82" s="248" t="s">
        <v>67</v>
      </c>
      <c r="P82" s="77"/>
      <c r="Q82" s="77"/>
      <c r="R82" s="77"/>
      <c r="S82" s="77"/>
      <c r="T82" s="77"/>
      <c r="U82" s="75"/>
      <c r="V82" s="173"/>
      <c r="W82" s="173"/>
      <c r="X82" s="173"/>
      <c r="Y82" s="173"/>
      <c r="Z82" s="173"/>
      <c r="AA82" s="173"/>
      <c r="AB82" s="77"/>
      <c r="AC82" s="768">
        <f>IF(AC83&gt;0,0,AJ82)</f>
        <v>0</v>
      </c>
      <c r="AD82" s="768"/>
      <c r="AE82" s="768"/>
      <c r="AF82" s="665" t="s">
        <v>46</v>
      </c>
      <c r="AG82" s="665"/>
      <c r="AH82" s="173"/>
      <c r="AI82" s="77"/>
      <c r="AJ82" s="149">
        <f>IF(OR(AJ71=1,AJ71=3),0,M78*1000)</f>
        <v>0</v>
      </c>
    </row>
    <row r="83" spans="1:42" ht="15.75" customHeight="1" x14ac:dyDescent="0.2">
      <c r="B83" s="77"/>
      <c r="C83" s="774"/>
      <c r="D83" s="774"/>
      <c r="E83" s="774"/>
      <c r="F83" s="774"/>
      <c r="G83" s="774"/>
      <c r="H83" s="774"/>
      <c r="I83" s="774"/>
      <c r="J83" s="774"/>
      <c r="K83" s="774"/>
      <c r="L83" s="774"/>
      <c r="M83" s="774"/>
      <c r="N83" s="774"/>
      <c r="O83" s="248" t="s">
        <v>66</v>
      </c>
      <c r="P83" s="77"/>
      <c r="Q83" s="77"/>
      <c r="R83" s="77"/>
      <c r="S83" s="77"/>
      <c r="T83" s="77"/>
      <c r="U83" s="75"/>
      <c r="V83" s="173"/>
      <c r="W83" s="173"/>
      <c r="X83" s="173"/>
      <c r="Y83" s="173"/>
      <c r="Z83" s="173"/>
      <c r="AA83" s="173"/>
      <c r="AB83" s="77"/>
      <c r="AC83" s="775"/>
      <c r="AD83" s="775"/>
      <c r="AE83" s="775"/>
      <c r="AF83" s="667" t="s">
        <v>46</v>
      </c>
      <c r="AG83" s="667"/>
      <c r="AH83" s="145"/>
      <c r="AI83" s="77"/>
    </row>
    <row r="84" spans="1:42" ht="15.75" customHeight="1" x14ac:dyDescent="0.2">
      <c r="B84" s="77"/>
      <c r="C84" s="77"/>
      <c r="D84" s="145"/>
      <c r="E84" s="77"/>
      <c r="F84" s="77"/>
      <c r="G84" s="77"/>
      <c r="H84" s="77"/>
      <c r="I84" s="245"/>
      <c r="J84" s="245"/>
      <c r="K84" s="245"/>
      <c r="L84" s="245"/>
      <c r="M84" s="237" t="str">
        <f>IF(AC82&gt;0,"Fournir la simulation de production pour preuve de la production saisonnière requise","")</f>
        <v/>
      </c>
      <c r="N84" s="77"/>
      <c r="O84" s="249"/>
      <c r="P84" s="249"/>
      <c r="Q84" s="249"/>
      <c r="R84" s="249"/>
      <c r="S84" s="249"/>
      <c r="T84" s="249"/>
      <c r="U84" s="249"/>
      <c r="V84" s="249"/>
      <c r="W84" s="249"/>
      <c r="X84" s="249"/>
      <c r="Y84" s="249"/>
      <c r="Z84" s="249"/>
      <c r="AA84" s="249"/>
      <c r="AB84" s="249"/>
      <c r="AC84" s="249"/>
      <c r="AD84" s="249"/>
      <c r="AE84" s="249"/>
      <c r="AF84" s="249"/>
      <c r="AG84" s="230"/>
      <c r="AH84" s="249"/>
      <c r="AI84" s="77"/>
    </row>
    <row r="85" spans="1:42" ht="15.75" customHeight="1" x14ac:dyDescent="0.2">
      <c r="B85" s="77"/>
      <c r="C85" s="77"/>
      <c r="D85" s="145"/>
      <c r="E85" s="77"/>
      <c r="F85" s="77"/>
      <c r="G85" s="77"/>
      <c r="H85" s="77"/>
      <c r="I85" s="245"/>
      <c r="J85" s="245"/>
      <c r="K85" s="245"/>
      <c r="L85" s="245"/>
      <c r="M85" s="237"/>
      <c r="N85" s="77"/>
      <c r="O85" s="248" t="s">
        <v>152</v>
      </c>
      <c r="P85" s="249"/>
      <c r="Q85" s="249"/>
      <c r="R85" s="249"/>
      <c r="S85" s="249"/>
      <c r="T85" s="249"/>
      <c r="U85" s="249"/>
      <c r="V85" s="249"/>
      <c r="W85" s="249"/>
      <c r="X85" s="249"/>
      <c r="Y85" s="249"/>
      <c r="Z85" s="249"/>
      <c r="AA85" s="249"/>
      <c r="AB85" s="249"/>
      <c r="AC85" s="775"/>
      <c r="AD85" s="775"/>
      <c r="AE85" s="775"/>
      <c r="AF85" s="667" t="s">
        <v>46</v>
      </c>
      <c r="AG85" s="667"/>
      <c r="AH85" s="249"/>
      <c r="AI85" s="77"/>
    </row>
    <row r="86" spans="1:42" ht="15.75" customHeight="1" x14ac:dyDescent="0.2">
      <c r="B86" s="77"/>
      <c r="C86" s="77"/>
      <c r="D86" s="145"/>
      <c r="E86" s="77"/>
      <c r="F86" s="77"/>
      <c r="G86" s="77"/>
      <c r="H86" s="77"/>
      <c r="I86" s="245"/>
      <c r="J86" s="245"/>
      <c r="K86" s="245"/>
      <c r="L86" s="245"/>
      <c r="M86" s="237"/>
      <c r="N86" s="77"/>
      <c r="O86" s="207" t="str">
        <f>IF(AC85&lt;&gt;0,IF(OR(AC82&gt;AC85,AC83&gt;AC85),"La production saisonnière n'est pas couverte","Production saisonnière couverte"),"")</f>
        <v/>
      </c>
      <c r="P86" s="249"/>
      <c r="Q86" s="249"/>
      <c r="R86" s="249"/>
      <c r="S86" s="249"/>
      <c r="T86" s="249"/>
      <c r="U86" s="249"/>
      <c r="V86" s="249"/>
      <c r="W86" s="249"/>
      <c r="X86" s="77"/>
      <c r="Y86" s="77"/>
      <c r="Z86" s="249"/>
      <c r="AA86" s="249"/>
      <c r="AB86" s="87"/>
      <c r="AC86" s="230"/>
      <c r="AD86" s="206"/>
      <c r="AE86" s="206"/>
      <c r="AF86" s="206"/>
      <c r="AG86" s="206"/>
      <c r="AH86" s="249"/>
      <c r="AI86" s="77"/>
    </row>
    <row r="87" spans="1:42" ht="6" customHeight="1" x14ac:dyDescent="0.2">
      <c r="A87" s="28"/>
      <c r="B87" s="250"/>
      <c r="C87" s="250"/>
      <c r="D87" s="250"/>
      <c r="E87" s="250"/>
      <c r="F87" s="250"/>
      <c r="G87" s="250"/>
      <c r="H87" s="250"/>
      <c r="I87" s="250"/>
      <c r="J87" s="250"/>
      <c r="K87" s="250"/>
      <c r="L87" s="250"/>
      <c r="M87" s="250"/>
      <c r="N87" s="782" t="str">
        <f>IF(AC83&gt;0,"fournir la simulation du bureau spécialisé","")</f>
        <v/>
      </c>
      <c r="O87" s="782"/>
      <c r="P87" s="782"/>
      <c r="Q87" s="782"/>
      <c r="R87" s="782"/>
      <c r="S87" s="782"/>
      <c r="T87" s="782"/>
      <c r="U87" s="782"/>
      <c r="V87" s="782"/>
      <c r="W87" s="782"/>
      <c r="X87" s="782"/>
      <c r="Y87" s="782"/>
      <c r="Z87" s="782"/>
      <c r="AA87" s="782"/>
      <c r="AB87" s="782"/>
      <c r="AC87" s="782"/>
      <c r="AD87" s="782"/>
      <c r="AE87" s="782"/>
      <c r="AF87" s="782"/>
      <c r="AG87" s="782"/>
      <c r="AH87" s="782"/>
      <c r="AI87" s="77"/>
    </row>
    <row r="88" spans="1:42" ht="8.1" customHeight="1" x14ac:dyDescent="0.2">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row>
    <row r="89" spans="1:42" ht="15.75" customHeight="1" x14ac:dyDescent="0.2">
      <c r="B89" s="34" t="s">
        <v>142</v>
      </c>
      <c r="C89" s="18"/>
      <c r="D89" s="34" t="s">
        <v>141</v>
      </c>
      <c r="E89" s="18"/>
      <c r="F89" s="18"/>
      <c r="G89" s="18"/>
      <c r="H89" s="18"/>
      <c r="I89" s="18"/>
      <c r="J89" s="18"/>
      <c r="K89" s="18"/>
      <c r="L89" s="18"/>
      <c r="M89" s="18"/>
      <c r="N89" s="18"/>
      <c r="O89" s="18"/>
      <c r="P89" s="18"/>
      <c r="Q89" s="18"/>
      <c r="R89" s="18"/>
      <c r="S89" s="18"/>
      <c r="T89" s="194"/>
      <c r="U89" s="55"/>
      <c r="V89" s="55"/>
      <c r="W89" s="55"/>
      <c r="X89" s="56"/>
      <c r="Y89" s="56"/>
      <c r="Z89" s="56"/>
      <c r="AA89" s="56"/>
      <c r="AB89" s="56"/>
      <c r="AC89" s="56"/>
      <c r="AE89" s="78"/>
      <c r="AF89" s="78"/>
      <c r="AG89" s="78"/>
      <c r="AH89" s="73"/>
    </row>
    <row r="90" spans="1:42" ht="15.75" customHeight="1" thickBot="1" x14ac:dyDescent="0.25">
      <c r="B90" s="135" t="s">
        <v>71</v>
      </c>
      <c r="C90" s="136"/>
      <c r="D90" s="136"/>
      <c r="E90" s="136"/>
      <c r="F90" s="136"/>
      <c r="G90" s="136"/>
      <c r="H90" s="136"/>
      <c r="I90" s="136"/>
      <c r="J90" s="136"/>
      <c r="K90" s="136"/>
      <c r="L90" s="136"/>
      <c r="M90" s="136"/>
      <c r="N90" s="136"/>
      <c r="O90" s="14"/>
      <c r="P90" s="14"/>
      <c r="Q90" s="14"/>
      <c r="R90" s="14"/>
      <c r="S90" s="136"/>
      <c r="T90" s="195"/>
      <c r="U90" s="55"/>
      <c r="V90" s="55"/>
      <c r="W90" s="55"/>
      <c r="X90" s="56"/>
      <c r="Y90" s="56"/>
      <c r="Z90" s="56"/>
      <c r="AA90" s="56"/>
      <c r="AB90" s="56"/>
      <c r="AC90" s="56"/>
      <c r="AD90" s="56"/>
      <c r="AE90" s="56"/>
      <c r="AF90" s="56"/>
      <c r="AG90" s="56"/>
      <c r="AH90" s="55"/>
    </row>
    <row r="91" spans="1:42" ht="8.1" customHeight="1" x14ac:dyDescent="0.2">
      <c r="B91" s="57"/>
      <c r="C91" s="57"/>
      <c r="D91" s="57"/>
      <c r="E91" s="57"/>
      <c r="F91" s="57"/>
      <c r="G91" s="57"/>
      <c r="H91" s="57"/>
      <c r="I91" s="57"/>
      <c r="J91" s="57"/>
      <c r="K91" s="57"/>
      <c r="L91" s="57"/>
      <c r="M91" s="57"/>
      <c r="N91" s="57"/>
      <c r="O91" s="57"/>
      <c r="P91" s="54"/>
      <c r="Q91" s="54"/>
      <c r="R91" s="54"/>
      <c r="S91" s="54"/>
      <c r="T91" s="54"/>
      <c r="U91" s="54"/>
      <c r="V91" s="54"/>
      <c r="W91" s="55"/>
      <c r="X91" s="56"/>
      <c r="Y91" s="56"/>
      <c r="Z91" s="56"/>
      <c r="AA91" s="56"/>
      <c r="AB91" s="56"/>
      <c r="AC91" s="56"/>
      <c r="AD91" s="56"/>
      <c r="AE91" s="56"/>
      <c r="AF91" s="56"/>
      <c r="AG91" s="56"/>
      <c r="AH91" s="55"/>
    </row>
    <row r="92" spans="1:42" ht="15.75" customHeight="1" x14ac:dyDescent="0.2">
      <c r="B92" s="198"/>
      <c r="C92" s="28" t="s">
        <v>64</v>
      </c>
      <c r="D92" s="28"/>
      <c r="E92" s="28"/>
      <c r="F92" s="28"/>
      <c r="G92" s="63"/>
      <c r="H92" s="63"/>
      <c r="I92" s="63"/>
      <c r="J92" s="32"/>
      <c r="K92" s="18"/>
      <c r="L92" s="198"/>
      <c r="M92" s="198"/>
      <c r="N92" s="763">
        <v>250</v>
      </c>
      <c r="O92" s="763"/>
      <c r="P92" s="763"/>
      <c r="Q92" s="144" t="s">
        <v>112</v>
      </c>
      <c r="R92" s="28"/>
      <c r="S92" s="28"/>
      <c r="T92" s="54"/>
      <c r="U92" s="28" t="s">
        <v>59</v>
      </c>
      <c r="V92" s="57"/>
      <c r="W92" s="55"/>
      <c r="X92" s="53"/>
      <c r="Y92" s="54"/>
      <c r="Z92" s="58"/>
      <c r="AA92" s="56"/>
      <c r="AB92" s="56"/>
      <c r="AC92" s="56"/>
      <c r="AD92" s="56"/>
      <c r="AE92" s="56"/>
      <c r="AF92" s="56"/>
      <c r="AG92" s="56"/>
      <c r="AH92" s="55"/>
      <c r="AI92" s="54"/>
      <c r="AJ92" s="149" t="b">
        <v>0</v>
      </c>
    </row>
    <row r="93" spans="1:42" ht="15.75" customHeight="1" x14ac:dyDescent="0.2">
      <c r="B93" s="198"/>
      <c r="C93" s="28"/>
      <c r="D93" s="28"/>
      <c r="E93" s="28"/>
      <c r="F93" s="28"/>
      <c r="G93" s="63"/>
      <c r="H93" s="63"/>
      <c r="I93" s="63"/>
      <c r="J93" s="32"/>
      <c r="K93" s="18"/>
      <c r="L93" s="198"/>
      <c r="M93" s="198"/>
      <c r="N93" s="198"/>
      <c r="O93" s="28"/>
      <c r="P93" s="28"/>
      <c r="Q93" s="28"/>
      <c r="R93" s="64"/>
      <c r="S93" s="64"/>
      <c r="T93" s="65"/>
      <c r="U93" s="59"/>
      <c r="V93" s="57"/>
      <c r="W93" s="55"/>
      <c r="X93" s="60"/>
      <c r="Y93" s="54"/>
      <c r="Z93" s="58"/>
      <c r="AA93" s="56"/>
      <c r="AB93" s="56"/>
      <c r="AC93" s="56"/>
      <c r="AD93" s="56"/>
      <c r="AE93" s="56"/>
      <c r="AF93" s="56"/>
      <c r="AG93" s="56"/>
      <c r="AH93" s="55"/>
      <c r="AI93" s="54"/>
    </row>
    <row r="94" spans="1:42" ht="15.75" customHeight="1" x14ac:dyDescent="0.2">
      <c r="B94" s="198"/>
      <c r="C94" s="28" t="s">
        <v>61</v>
      </c>
      <c r="D94" s="28"/>
      <c r="E94" s="28"/>
      <c r="F94" s="28"/>
      <c r="G94" s="28"/>
      <c r="H94" s="28"/>
      <c r="I94" s="28"/>
      <c r="J94" s="28"/>
      <c r="K94" s="28"/>
      <c r="L94" s="28"/>
      <c r="M94" s="783">
        <v>5</v>
      </c>
      <c r="N94" s="783"/>
      <c r="O94" s="147" t="s">
        <v>43</v>
      </c>
      <c r="P94" s="198"/>
      <c r="Q94" s="198"/>
      <c r="R94" s="198"/>
      <c r="S94" s="28"/>
      <c r="T94" s="53"/>
      <c r="U94" s="55"/>
      <c r="V94" s="53"/>
      <c r="W94" s="58"/>
      <c r="X94" s="56"/>
      <c r="Y94" s="54"/>
      <c r="Z94" s="60"/>
      <c r="AA94" s="56"/>
      <c r="AB94" s="56"/>
      <c r="AC94" s="56"/>
      <c r="AD94" s="56"/>
      <c r="AE94" s="56"/>
      <c r="AF94" s="56"/>
      <c r="AG94" s="56"/>
      <c r="AH94" s="55"/>
      <c r="AI94" s="54"/>
    </row>
    <row r="95" spans="1:42" s="158" customFormat="1" ht="12" customHeight="1" x14ac:dyDescent="0.2">
      <c r="A95" s="112"/>
      <c r="B95" s="113"/>
      <c r="C95" s="115" t="s">
        <v>56</v>
      </c>
      <c r="D95" s="114"/>
      <c r="E95" s="114"/>
      <c r="F95" s="114"/>
      <c r="G95" s="114"/>
      <c r="H95" s="114"/>
      <c r="I95" s="114"/>
      <c r="J95" s="114"/>
      <c r="K95" s="114"/>
      <c r="L95" s="114"/>
      <c r="M95" s="784"/>
      <c r="N95" s="784"/>
      <c r="O95" s="115"/>
      <c r="P95" s="115"/>
      <c r="Q95" s="114"/>
      <c r="R95" s="114"/>
      <c r="S95" s="114"/>
      <c r="T95" s="114"/>
      <c r="U95" s="116"/>
      <c r="V95" s="117"/>
      <c r="W95" s="117"/>
      <c r="X95" s="114"/>
      <c r="Y95" s="114"/>
      <c r="Z95" s="114"/>
      <c r="AA95" s="114"/>
      <c r="AB95" s="114"/>
      <c r="AC95" s="114"/>
      <c r="AD95" s="114"/>
      <c r="AE95" s="114"/>
      <c r="AF95" s="114"/>
      <c r="AG95" s="114"/>
      <c r="AH95" s="114"/>
      <c r="AI95" s="114"/>
      <c r="AJ95" s="156"/>
      <c r="AK95" s="157"/>
      <c r="AL95" s="156"/>
      <c r="AM95" s="157"/>
      <c r="AN95" s="157"/>
      <c r="AO95" s="157"/>
      <c r="AP95" s="157"/>
    </row>
    <row r="96" spans="1:42" ht="15.75" customHeight="1" x14ac:dyDescent="0.2">
      <c r="B96" s="198"/>
      <c r="C96" s="28"/>
      <c r="D96" s="28"/>
      <c r="E96" s="28"/>
      <c r="F96" s="28"/>
      <c r="G96" s="28"/>
      <c r="H96" s="28"/>
      <c r="I96" s="28"/>
      <c r="J96" s="28"/>
      <c r="K96" s="28"/>
      <c r="L96" s="28"/>
      <c r="M96" s="778">
        <f>IF(N92&gt;0,M94*1000/N92,"")</f>
        <v>20</v>
      </c>
      <c r="N96" s="778"/>
      <c r="O96" s="35" t="s">
        <v>114</v>
      </c>
      <c r="P96" s="1"/>
      <c r="Q96" s="28"/>
      <c r="R96" s="28"/>
      <c r="S96" s="28"/>
      <c r="T96" s="28"/>
      <c r="U96" s="17"/>
      <c r="V96" s="33"/>
      <c r="W96" s="33"/>
      <c r="X96" s="28"/>
      <c r="Y96" s="28"/>
      <c r="Z96" s="28"/>
      <c r="AA96" s="28"/>
      <c r="AB96" s="28"/>
      <c r="AC96" s="28"/>
      <c r="AD96" s="28"/>
      <c r="AE96" s="28"/>
      <c r="AF96" s="28"/>
      <c r="AG96" s="28"/>
      <c r="AH96" s="28"/>
    </row>
    <row r="97" spans="1:42" ht="15.75" customHeight="1" x14ac:dyDescent="0.2">
      <c r="B97" s="198"/>
      <c r="C97" s="28"/>
      <c r="D97" s="28"/>
      <c r="E97" s="28"/>
      <c r="F97" s="28"/>
      <c r="G97" s="28"/>
      <c r="H97" s="28"/>
      <c r="I97" s="28"/>
      <c r="J97" s="28"/>
      <c r="K97" s="28"/>
      <c r="L97" s="28"/>
      <c r="M97" s="779">
        <f>IFERROR(IF((M96&gt;12),(M96-12),0),0)</f>
        <v>8</v>
      </c>
      <c r="N97" s="779"/>
      <c r="O97" s="146" t="s">
        <v>115</v>
      </c>
      <c r="P97" s="107"/>
      <c r="Q97" s="41"/>
      <c r="R97" s="32" t="s">
        <v>107</v>
      </c>
      <c r="S97" s="41"/>
      <c r="T97" s="41"/>
      <c r="U97" s="17"/>
      <c r="V97" s="33"/>
      <c r="W97" s="56"/>
      <c r="X97" s="28"/>
      <c r="Y97" s="28"/>
      <c r="Z97" s="28"/>
      <c r="AA97" s="28"/>
      <c r="AB97" s="28"/>
      <c r="AC97" s="28"/>
      <c r="AD97" s="28"/>
      <c r="AE97" s="28"/>
      <c r="AF97" s="28"/>
      <c r="AG97" s="28"/>
      <c r="AH97" s="28"/>
      <c r="AI97" s="54"/>
    </row>
    <row r="98" spans="1:42" ht="15.75" customHeight="1" x14ac:dyDescent="0.2">
      <c r="B98" s="198"/>
      <c r="C98" s="28"/>
      <c r="D98" s="28"/>
      <c r="E98" s="28"/>
      <c r="F98" s="28"/>
      <c r="G98" s="28"/>
      <c r="H98" s="28"/>
      <c r="I98" s="28"/>
      <c r="J98" s="28"/>
      <c r="K98" s="28"/>
      <c r="L98" s="28"/>
      <c r="M98" s="118"/>
      <c r="N98" s="118"/>
      <c r="O98" s="108"/>
      <c r="P98" s="108"/>
      <c r="Q98" s="41"/>
      <c r="R98" s="29" t="s">
        <v>134</v>
      </c>
      <c r="S98" s="41"/>
      <c r="T98" s="41"/>
      <c r="U98" s="17"/>
      <c r="V98" s="33"/>
      <c r="W98" s="56"/>
      <c r="X98" s="28"/>
      <c r="Y98" s="28"/>
      <c r="Z98" s="28"/>
      <c r="AA98" s="28"/>
      <c r="AB98" s="28"/>
      <c r="AC98" s="28"/>
      <c r="AD98" s="28"/>
      <c r="AE98" s="28"/>
      <c r="AF98" s="28"/>
      <c r="AG98" s="28"/>
      <c r="AH98" s="28"/>
      <c r="AI98" s="54"/>
    </row>
    <row r="99" spans="1:42" ht="15.75" customHeight="1" x14ac:dyDescent="0.2">
      <c r="B99" s="198"/>
      <c r="C99" s="93" t="s">
        <v>57</v>
      </c>
      <c r="D99" s="28"/>
      <c r="E99" s="17"/>
      <c r="F99" s="17"/>
      <c r="G99" s="17"/>
      <c r="H99" s="17"/>
      <c r="I99" s="17"/>
      <c r="J99" s="17"/>
      <c r="K99" s="17"/>
      <c r="L99" s="17"/>
      <c r="M99" s="16"/>
      <c r="N99" s="16"/>
      <c r="O99" s="16"/>
      <c r="P99" s="28"/>
      <c r="Q99" s="54"/>
      <c r="R99" s="29" t="s">
        <v>133</v>
      </c>
      <c r="S99" s="54"/>
      <c r="T99" s="55"/>
      <c r="U99" s="56"/>
      <c r="V99" s="56"/>
      <c r="W99" s="56"/>
      <c r="X99" s="28"/>
      <c r="Y99" s="28"/>
      <c r="Z99" s="28"/>
      <c r="AA99" s="28"/>
      <c r="AB99" s="28"/>
      <c r="AC99" s="28"/>
      <c r="AD99" s="28"/>
      <c r="AE99" s="28"/>
      <c r="AF99" s="28"/>
      <c r="AG99" s="28"/>
      <c r="AH99" s="28"/>
      <c r="AJ99" s="149">
        <v>1</v>
      </c>
    </row>
    <row r="100" spans="1:42" ht="15.75" x14ac:dyDescent="0.2">
      <c r="B100" s="57"/>
      <c r="C100" s="92" t="s">
        <v>86</v>
      </c>
      <c r="D100" s="54"/>
      <c r="E100" s="56"/>
      <c r="F100" s="56"/>
      <c r="G100" s="56"/>
      <c r="H100" s="56"/>
      <c r="I100" s="56"/>
      <c r="J100" s="56"/>
      <c r="K100" s="56"/>
      <c r="L100" s="56"/>
      <c r="M100" s="55"/>
      <c r="N100" s="55"/>
      <c r="O100" s="55"/>
      <c r="P100" s="54"/>
      <c r="Q100" s="54"/>
      <c r="R100" s="54"/>
      <c r="S100" s="54"/>
      <c r="T100" s="54"/>
      <c r="U100" s="54"/>
      <c r="V100" s="54"/>
      <c r="W100" s="55"/>
      <c r="X100" s="28"/>
      <c r="Y100" s="28"/>
      <c r="Z100" s="28"/>
      <c r="AA100" s="28"/>
      <c r="AB100" s="28"/>
      <c r="AC100" s="28"/>
      <c r="AD100" s="28"/>
      <c r="AE100" s="28"/>
      <c r="AF100" s="28"/>
      <c r="AG100" s="28"/>
      <c r="AH100" s="28"/>
    </row>
    <row r="101" spans="1:42" ht="18" customHeight="1" x14ac:dyDescent="0.2">
      <c r="B101" s="198"/>
      <c r="C101" s="19" t="s">
        <v>60</v>
      </c>
      <c r="D101" s="28"/>
      <c r="E101" s="17"/>
      <c r="F101" s="17"/>
      <c r="G101" s="17"/>
      <c r="H101" s="17"/>
      <c r="I101" s="17"/>
      <c r="J101" s="198"/>
      <c r="K101" s="198"/>
      <c r="L101" s="28"/>
      <c r="M101" s="94"/>
      <c r="N101" s="94"/>
      <c r="O101" s="95"/>
      <c r="P101" s="111"/>
      <c r="Q101" s="111"/>
      <c r="R101" s="111"/>
      <c r="S101" s="54"/>
      <c r="T101" s="54"/>
      <c r="U101" s="56"/>
      <c r="V101" s="56"/>
      <c r="W101" s="56"/>
      <c r="X101" s="28"/>
      <c r="Y101" s="28"/>
      <c r="Z101" s="28"/>
      <c r="AA101" s="28"/>
      <c r="AB101" s="28"/>
      <c r="AC101" s="28"/>
      <c r="AD101" s="28"/>
      <c r="AE101" s="28"/>
      <c r="AF101" s="28"/>
      <c r="AG101" s="28"/>
      <c r="AH101" s="28"/>
      <c r="AJ101" s="149">
        <v>1</v>
      </c>
    </row>
    <row r="102" spans="1:42" ht="6" customHeight="1" x14ac:dyDescent="0.2">
      <c r="B102" s="198"/>
      <c r="C102" s="19"/>
      <c r="D102" s="28"/>
      <c r="E102" s="17"/>
      <c r="F102" s="17"/>
      <c r="G102" s="17"/>
      <c r="H102" s="17"/>
      <c r="I102" s="17"/>
      <c r="J102" s="198"/>
      <c r="K102" s="198"/>
      <c r="L102" s="28"/>
      <c r="M102" s="16"/>
      <c r="N102" s="16"/>
      <c r="O102" s="19"/>
      <c r="P102" s="54"/>
      <c r="Q102" s="54"/>
      <c r="R102" s="54"/>
      <c r="S102" s="54"/>
      <c r="T102" s="54"/>
      <c r="U102" s="56"/>
      <c r="V102" s="56"/>
      <c r="W102" s="56"/>
      <c r="X102" s="28"/>
      <c r="Y102" s="28"/>
      <c r="Z102" s="28"/>
      <c r="AA102" s="28"/>
      <c r="AB102" s="28"/>
      <c r="AC102" s="28"/>
      <c r="AD102" s="28"/>
      <c r="AE102" s="28"/>
      <c r="AF102" s="28"/>
      <c r="AG102" s="28"/>
      <c r="AH102" s="28"/>
    </row>
    <row r="103" spans="1:42" ht="18" customHeight="1" x14ac:dyDescent="0.2">
      <c r="B103" s="198"/>
      <c r="C103" s="19" t="s">
        <v>58</v>
      </c>
      <c r="D103" s="28"/>
      <c r="E103" s="17"/>
      <c r="F103" s="17"/>
      <c r="G103" s="17"/>
      <c r="H103" s="17"/>
      <c r="I103" s="17"/>
      <c r="J103" s="198"/>
      <c r="K103" s="198"/>
      <c r="L103" s="28"/>
      <c r="M103" s="94"/>
      <c r="N103" s="94"/>
      <c r="O103" s="95"/>
      <c r="P103" s="111"/>
      <c r="Q103" s="111"/>
      <c r="R103" s="111"/>
      <c r="S103" s="54"/>
      <c r="T103" s="56"/>
      <c r="U103" s="56"/>
      <c r="V103" s="56"/>
      <c r="W103" s="56"/>
      <c r="X103" s="28"/>
      <c r="Y103" s="28"/>
      <c r="Z103" s="28"/>
      <c r="AA103" s="28"/>
      <c r="AB103" s="28"/>
      <c r="AC103" s="28"/>
      <c r="AD103" s="28"/>
      <c r="AE103" s="28"/>
      <c r="AF103" s="28"/>
      <c r="AG103" s="28"/>
      <c r="AH103" s="28"/>
      <c r="AJ103" s="149">
        <v>1</v>
      </c>
      <c r="AO103" s="159"/>
    </row>
    <row r="104" spans="1:42" ht="8.1" customHeight="1" x14ac:dyDescent="0.2">
      <c r="B104" s="57"/>
      <c r="C104" s="32"/>
      <c r="D104" s="32"/>
      <c r="E104" s="32"/>
      <c r="F104" s="32"/>
      <c r="G104" s="32"/>
      <c r="H104" s="32"/>
      <c r="I104" s="19"/>
      <c r="J104" s="19"/>
      <c r="K104" s="19"/>
      <c r="L104" s="19"/>
      <c r="M104" s="19"/>
      <c r="N104" s="43"/>
      <c r="O104" s="28"/>
      <c r="P104" s="57"/>
      <c r="Q104" s="57"/>
      <c r="R104" s="57"/>
      <c r="S104" s="57"/>
      <c r="T104" s="55"/>
      <c r="U104" s="55"/>
      <c r="V104" s="55"/>
      <c r="W104" s="55"/>
      <c r="X104" s="56"/>
      <c r="Y104" s="60"/>
      <c r="Z104" s="60"/>
      <c r="AA104" s="56"/>
      <c r="AB104" s="56"/>
      <c r="AC104" s="56"/>
      <c r="AD104" s="56"/>
      <c r="AE104" s="56"/>
      <c r="AF104" s="56"/>
      <c r="AG104" s="56"/>
      <c r="AH104" s="55"/>
      <c r="AI104" s="54"/>
      <c r="AJ104" s="149">
        <f>IF((M96-12)*N92*1000/1000&lt;0,0,IF(AND(AJ92=FALSE,(M96&gt;12)),0,(M96-12)*N92*1000/1000))</f>
        <v>0</v>
      </c>
      <c r="AK104" s="149" t="s">
        <v>45</v>
      </c>
      <c r="AL104" s="149" t="s">
        <v>87</v>
      </c>
    </row>
    <row r="105" spans="1:42" s="163" customFormat="1" ht="15.75" customHeight="1" x14ac:dyDescent="0.2">
      <c r="A105" s="39"/>
      <c r="B105" s="40"/>
      <c r="C105" s="48"/>
      <c r="D105" s="48"/>
      <c r="E105" s="48"/>
      <c r="F105" s="48"/>
      <c r="G105" s="191" t="s">
        <v>65</v>
      </c>
      <c r="H105" s="48"/>
      <c r="I105" s="39"/>
      <c r="J105" s="28"/>
      <c r="K105" s="28"/>
      <c r="L105" s="28"/>
      <c r="M105" s="780">
        <v>3.5</v>
      </c>
      <c r="N105" s="780"/>
      <c r="O105" s="780"/>
      <c r="P105" s="57"/>
      <c r="Q105" s="57"/>
      <c r="R105" s="57"/>
      <c r="S105" s="39"/>
      <c r="T105" s="39"/>
      <c r="U105" s="39"/>
      <c r="V105" s="39"/>
      <c r="W105" s="55"/>
      <c r="X105" s="58"/>
      <c r="Y105" s="58"/>
      <c r="Z105" s="58"/>
      <c r="AA105" s="58"/>
      <c r="AB105" s="58"/>
      <c r="AC105" s="39"/>
      <c r="AD105" s="39"/>
      <c r="AE105" s="39"/>
      <c r="AF105" s="39"/>
      <c r="AG105" s="39"/>
      <c r="AH105" s="39"/>
      <c r="AI105" s="54"/>
      <c r="AJ105" s="160">
        <f>IF(ISERROR((M94*1000/N92)-12&lt;0),0,IF((OR(AJ101=2,AJ103=2)),M94*1000*(M105/M106),0))</f>
        <v>0</v>
      </c>
      <c r="AK105" s="161" t="s">
        <v>45</v>
      </c>
      <c r="AL105" s="149" t="s">
        <v>88</v>
      </c>
      <c r="AM105" s="162"/>
      <c r="AN105" s="160"/>
      <c r="AO105" s="162"/>
      <c r="AP105" s="161"/>
    </row>
    <row r="106" spans="1:42" ht="15.75" customHeight="1" x14ac:dyDescent="0.2">
      <c r="B106" s="54"/>
      <c r="C106" s="48"/>
      <c r="D106" s="49"/>
      <c r="E106" s="49"/>
      <c r="F106" s="49"/>
      <c r="G106" s="191" t="s">
        <v>70</v>
      </c>
      <c r="H106" s="48"/>
      <c r="I106" s="28"/>
      <c r="J106" s="28"/>
      <c r="K106" s="28"/>
      <c r="L106" s="19"/>
      <c r="M106" s="780">
        <v>4</v>
      </c>
      <c r="N106" s="780"/>
      <c r="O106" s="780"/>
      <c r="P106" s="28"/>
      <c r="Q106" s="28"/>
      <c r="S106" s="28"/>
      <c r="T106" s="28"/>
      <c r="U106" s="28"/>
      <c r="V106" s="28"/>
      <c r="W106" s="28"/>
      <c r="X106" s="28"/>
      <c r="Y106" s="28"/>
      <c r="Z106" s="28"/>
      <c r="AA106" s="28"/>
      <c r="AB106" s="28"/>
      <c r="AC106" s="28"/>
      <c r="AD106" s="28"/>
      <c r="AE106" s="28"/>
      <c r="AF106" s="28"/>
      <c r="AG106" s="28"/>
      <c r="AH106" s="17"/>
    </row>
    <row r="107" spans="1:42" ht="15.75" customHeight="1" x14ac:dyDescent="0.2">
      <c r="B107" s="54"/>
      <c r="C107" s="48"/>
      <c r="D107" s="49"/>
      <c r="E107" s="49"/>
      <c r="F107" s="49"/>
      <c r="G107" s="48"/>
      <c r="H107" s="48"/>
      <c r="I107" s="48"/>
      <c r="J107" s="28"/>
      <c r="K107" s="28"/>
      <c r="L107" s="19"/>
      <c r="M107" s="143"/>
      <c r="N107" s="143"/>
      <c r="O107" s="143"/>
      <c r="P107" s="28"/>
      <c r="Q107" s="28"/>
      <c r="R107" s="28"/>
      <c r="S107" s="28"/>
      <c r="T107" s="30"/>
      <c r="U107" s="30"/>
      <c r="V107" s="17"/>
      <c r="W107" s="17"/>
      <c r="X107" s="17"/>
      <c r="Y107" s="17"/>
      <c r="Z107" s="17"/>
      <c r="AA107" s="17"/>
      <c r="AB107" s="44"/>
      <c r="AC107" s="110"/>
      <c r="AD107" s="110"/>
      <c r="AE107" s="110"/>
      <c r="AF107" s="71"/>
      <c r="AG107" s="71"/>
      <c r="AH107" s="17"/>
    </row>
    <row r="108" spans="1:42" ht="15.75" customHeight="1" x14ac:dyDescent="0.2">
      <c r="B108" s="54"/>
      <c r="C108" s="48"/>
      <c r="D108" s="49"/>
      <c r="E108" s="49"/>
      <c r="F108" s="49"/>
      <c r="G108" s="48"/>
      <c r="H108" s="48"/>
      <c r="I108" s="48"/>
      <c r="J108" s="28"/>
      <c r="K108" s="28"/>
      <c r="L108" s="19"/>
      <c r="M108" s="143"/>
      <c r="N108" s="143"/>
      <c r="O108" s="143"/>
      <c r="P108" s="28"/>
      <c r="Q108" s="22" t="s">
        <v>50</v>
      </c>
      <c r="R108" s="28"/>
      <c r="S108" s="28"/>
      <c r="T108" s="30"/>
      <c r="U108" s="30"/>
      <c r="V108" s="17"/>
      <c r="W108" s="17"/>
      <c r="X108" s="17"/>
      <c r="Y108" s="17"/>
      <c r="Z108" s="17"/>
      <c r="AA108" s="17"/>
      <c r="AC108" s="781">
        <f>IF(AJ92=TRUE,AJ104,AJ105)</f>
        <v>0</v>
      </c>
      <c r="AD108" s="781"/>
      <c r="AE108" s="781"/>
      <c r="AF108" s="496" t="s">
        <v>46</v>
      </c>
      <c r="AG108" s="496"/>
      <c r="AH108" s="17"/>
    </row>
    <row r="109" spans="1:42" ht="15.75" customHeight="1" x14ac:dyDescent="0.2">
      <c r="B109" s="54"/>
      <c r="C109" s="54"/>
      <c r="D109" s="54"/>
      <c r="E109" s="54"/>
      <c r="F109" s="54"/>
      <c r="G109" s="54"/>
      <c r="H109" s="54"/>
      <c r="I109" s="54"/>
      <c r="J109" s="54"/>
      <c r="K109" s="54"/>
      <c r="L109" s="54"/>
      <c r="M109" s="54"/>
      <c r="O109" s="109"/>
      <c r="P109" s="109"/>
      <c r="Q109" s="109"/>
      <c r="R109" s="109"/>
      <c r="S109" s="109"/>
      <c r="T109" s="109"/>
      <c r="U109" s="109"/>
      <c r="V109" s="109"/>
      <c r="W109" s="109"/>
      <c r="X109" s="109"/>
      <c r="Y109" s="109"/>
      <c r="Z109" s="109"/>
      <c r="AA109" s="109"/>
      <c r="AB109" s="109"/>
      <c r="AC109" s="109"/>
      <c r="AD109" s="109"/>
      <c r="AE109" s="109"/>
      <c r="AF109" s="33"/>
      <c r="AG109" s="148" t="str">
        <f>IF(AC108&gt;0,"fournir le PVopti de l'installation projetée pour preuve de la production saisonnière requise","")</f>
        <v/>
      </c>
      <c r="AH109" s="109"/>
      <c r="AJ109" s="153">
        <f>IF(AC83&gt;0,ROUNDDOWN(AC83+AC108,1),ROUNDDOWN(AC82+AC108,1))</f>
        <v>0</v>
      </c>
      <c r="AK109" s="149" t="s">
        <v>45</v>
      </c>
      <c r="AL109" s="149" t="s">
        <v>90</v>
      </c>
    </row>
    <row r="110" spans="1:42" ht="8.1" customHeight="1" thickBot="1"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row>
    <row r="111" spans="1:42" ht="8.1" customHeight="1" thickTop="1" x14ac:dyDescent="0.2">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28"/>
      <c r="X111" s="28"/>
      <c r="Y111" s="28"/>
      <c r="Z111" s="28"/>
      <c r="AA111" s="28"/>
      <c r="AB111" s="28"/>
      <c r="AC111" s="28"/>
      <c r="AD111" s="28"/>
      <c r="AE111" s="28"/>
      <c r="AF111" s="28"/>
      <c r="AG111" s="28"/>
      <c r="AH111" s="28"/>
    </row>
    <row r="112" spans="1:42" ht="15.75" customHeight="1" x14ac:dyDescent="0.2">
      <c r="B112" s="138" t="s">
        <v>106</v>
      </c>
      <c r="C112" s="139"/>
      <c r="D112" s="139"/>
      <c r="E112" s="139"/>
      <c r="F112" s="139"/>
      <c r="G112" s="139"/>
      <c r="H112" s="139"/>
      <c r="I112" s="139"/>
      <c r="J112" s="139"/>
      <c r="K112" s="139"/>
      <c r="L112" s="139"/>
      <c r="M112" s="139"/>
      <c r="N112" s="139"/>
      <c r="O112" s="139"/>
      <c r="P112" s="139"/>
      <c r="Q112" s="139"/>
      <c r="R112" s="139"/>
      <c r="S112" s="139"/>
      <c r="T112" s="139"/>
      <c r="U112" s="139"/>
      <c r="V112" s="139"/>
      <c r="W112" s="18"/>
      <c r="X112" s="18"/>
      <c r="Y112" s="18"/>
      <c r="Z112" s="18"/>
      <c r="AA112" s="18"/>
      <c r="AB112" s="18"/>
      <c r="AC112" s="18"/>
      <c r="AD112" s="18"/>
      <c r="AE112" s="18"/>
      <c r="AF112" s="99"/>
      <c r="AG112" s="99"/>
      <c r="AH112" s="18"/>
    </row>
    <row r="113" spans="2:42" ht="8.1" customHeight="1" x14ac:dyDescent="0.2">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row>
    <row r="114" spans="2:42" ht="15.75" customHeight="1" x14ac:dyDescent="0.2">
      <c r="B114" s="28"/>
      <c r="C114" s="28"/>
      <c r="D114" s="28"/>
      <c r="E114" s="28"/>
      <c r="F114" s="28"/>
      <c r="G114" s="28"/>
      <c r="H114" s="28"/>
      <c r="I114" s="28"/>
      <c r="J114" s="28" t="str">
        <f>B26&amp;" "&amp; D26</f>
        <v xml:space="preserve">①  Nouvelle construction / agrandissement </v>
      </c>
      <c r="K114" s="28"/>
      <c r="L114" s="28"/>
      <c r="M114" s="28"/>
      <c r="N114" s="28"/>
      <c r="O114" s="28"/>
      <c r="P114" s="28"/>
      <c r="Q114" s="28"/>
      <c r="R114" s="28"/>
      <c r="S114" s="28"/>
      <c r="T114" s="28"/>
      <c r="U114" s="28"/>
      <c r="V114" s="28"/>
      <c r="W114" s="28"/>
      <c r="X114" s="28"/>
      <c r="Y114" s="28"/>
      <c r="Z114" s="28"/>
      <c r="AA114" s="28"/>
      <c r="AB114" s="28"/>
      <c r="AC114" s="785">
        <f>AC34</f>
        <v>0</v>
      </c>
      <c r="AD114" s="785"/>
      <c r="AE114" s="785"/>
      <c r="AF114" s="97" t="s">
        <v>46</v>
      </c>
      <c r="AG114" s="28"/>
      <c r="AH114" s="28"/>
      <c r="AJ114" s="149" t="s">
        <v>96</v>
      </c>
    </row>
    <row r="115" spans="2:42" ht="15.75" customHeight="1" x14ac:dyDescent="0.2">
      <c r="B115" s="28"/>
      <c r="C115" s="28"/>
      <c r="D115" s="28"/>
      <c r="E115" s="28"/>
      <c r="F115" s="28"/>
      <c r="G115" s="28"/>
      <c r="H115" s="28"/>
      <c r="I115" s="28"/>
      <c r="J115" s="28" t="str">
        <f>B37&amp;" "&amp;D37</f>
        <v>②a Dépose de la couverture, bâtiment existant</v>
      </c>
      <c r="K115" s="28"/>
      <c r="L115" s="28"/>
      <c r="M115" s="28"/>
      <c r="N115" s="28"/>
      <c r="O115" s="28"/>
      <c r="P115" s="28"/>
      <c r="Q115" s="28"/>
      <c r="R115" s="28"/>
      <c r="S115" s="28"/>
      <c r="T115" s="28"/>
      <c r="U115" s="28"/>
      <c r="V115" s="28"/>
      <c r="W115" s="28"/>
      <c r="X115" s="28"/>
      <c r="Y115" s="28"/>
      <c r="Z115" s="28"/>
      <c r="AA115" s="28"/>
      <c r="AB115" s="28"/>
      <c r="AC115" s="785">
        <f>AC49</f>
        <v>0</v>
      </c>
      <c r="AD115" s="785"/>
      <c r="AE115" s="785"/>
      <c r="AF115" s="97" t="s">
        <v>46</v>
      </c>
      <c r="AG115" s="28"/>
      <c r="AH115" s="28"/>
      <c r="AJ115" s="149" t="s">
        <v>96</v>
      </c>
    </row>
    <row r="116" spans="2:42" ht="15.75" customHeight="1" x14ac:dyDescent="0.2">
      <c r="B116" s="28"/>
      <c r="C116" s="28"/>
      <c r="D116" s="28"/>
      <c r="E116" s="28"/>
      <c r="F116" s="28"/>
      <c r="G116" s="28"/>
      <c r="H116" s="28"/>
      <c r="I116" s="28"/>
      <c r="J116" s="28" t="str">
        <f>B52&amp;" "&amp;D52</f>
        <v>②b Remplacement chaudière et/ou chauffage électrique</v>
      </c>
      <c r="K116" s="28"/>
      <c r="L116" s="28"/>
      <c r="M116" s="28"/>
      <c r="N116" s="28"/>
      <c r="O116" s="28"/>
      <c r="P116" s="28"/>
      <c r="Q116" s="28"/>
      <c r="R116" s="28"/>
      <c r="S116" s="28"/>
      <c r="T116" s="28"/>
      <c r="U116" s="28"/>
      <c r="V116" s="28"/>
      <c r="W116" s="28"/>
      <c r="X116" s="28"/>
      <c r="Y116" s="28"/>
      <c r="Z116" s="28"/>
      <c r="AA116" s="28"/>
      <c r="AB116" s="28"/>
      <c r="AC116" s="785">
        <f>IF(AC60&lt;&gt;0,AC60,AC64)</f>
        <v>0</v>
      </c>
      <c r="AD116" s="785"/>
      <c r="AE116" s="785"/>
      <c r="AF116" s="97" t="s">
        <v>46</v>
      </c>
      <c r="AG116" s="28"/>
      <c r="AH116" s="28"/>
      <c r="AJ116" s="149" t="s">
        <v>95</v>
      </c>
    </row>
    <row r="117" spans="2:42" ht="15.75" customHeight="1" x14ac:dyDescent="0.2">
      <c r="B117" s="28"/>
      <c r="C117" s="28"/>
      <c r="D117" s="28"/>
      <c r="E117" s="28"/>
      <c r="F117" s="28"/>
      <c r="G117" s="28"/>
      <c r="H117" s="28"/>
      <c r="I117" s="28"/>
      <c r="J117" s="28" t="str">
        <f>B68&amp;" "&amp;D68</f>
        <v xml:space="preserve">③a Rafraîchissement  dans un nouveau bâtiment / agrandissement </v>
      </c>
      <c r="K117" s="28"/>
      <c r="L117" s="28"/>
      <c r="M117" s="28"/>
      <c r="N117" s="28"/>
      <c r="O117" s="28"/>
      <c r="P117" s="28"/>
      <c r="Q117" s="28"/>
      <c r="R117" s="28"/>
      <c r="S117" s="28"/>
      <c r="T117" s="28"/>
      <c r="U117" s="28"/>
      <c r="V117" s="28"/>
      <c r="W117" s="28"/>
      <c r="X117" s="28"/>
      <c r="Y117" s="28"/>
      <c r="Z117" s="28"/>
      <c r="AA117" s="28"/>
      <c r="AB117" s="28"/>
      <c r="AC117" s="785">
        <f>IF(AC82&lt;&gt;0,AC82,AC83)</f>
        <v>0</v>
      </c>
      <c r="AD117" s="785"/>
      <c r="AE117" s="785"/>
      <c r="AF117" s="97" t="s">
        <v>46</v>
      </c>
      <c r="AG117" s="28"/>
      <c r="AH117" s="28"/>
      <c r="AJ117" s="149" t="s">
        <v>95</v>
      </c>
    </row>
    <row r="118" spans="2:42" ht="15.75" customHeight="1" x14ac:dyDescent="0.2">
      <c r="B118" s="28"/>
      <c r="C118" s="28"/>
      <c r="D118" s="28"/>
      <c r="E118" s="28"/>
      <c r="F118" s="28"/>
      <c r="G118" s="28"/>
      <c r="H118" s="28"/>
      <c r="I118" s="28"/>
      <c r="J118" s="28" t="str">
        <f>B89&amp;" "&amp;D89</f>
        <v>③b Rafraîchissement  dans un bâtiment existant</v>
      </c>
      <c r="K118" s="28"/>
      <c r="L118" s="28"/>
      <c r="M118" s="28"/>
      <c r="N118" s="28"/>
      <c r="O118" s="28"/>
      <c r="P118" s="28"/>
      <c r="Q118" s="28"/>
      <c r="R118" s="28"/>
      <c r="S118" s="28"/>
      <c r="T118" s="28"/>
      <c r="U118" s="28"/>
      <c r="V118" s="28"/>
      <c r="W118" s="28"/>
      <c r="X118" s="28"/>
      <c r="Y118" s="28"/>
      <c r="Z118" s="28"/>
      <c r="AA118" s="28"/>
      <c r="AB118" s="28"/>
      <c r="AC118" s="785">
        <f>AC108</f>
        <v>0</v>
      </c>
      <c r="AD118" s="785"/>
      <c r="AE118" s="785"/>
      <c r="AF118" s="97" t="s">
        <v>46</v>
      </c>
      <c r="AG118" s="28"/>
      <c r="AH118" s="28"/>
      <c r="AJ118" s="149" t="s">
        <v>95</v>
      </c>
      <c r="AM118" s="161"/>
      <c r="AN118" s="161"/>
      <c r="AO118" s="161"/>
      <c r="AP118" s="161"/>
    </row>
    <row r="119" spans="2:42" ht="8.1" customHeight="1" x14ac:dyDescent="0.2">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row>
    <row r="120" spans="2:42" ht="15.75" customHeight="1" x14ac:dyDescent="0.2">
      <c r="B120" s="28"/>
      <c r="C120" s="28"/>
      <c r="D120" s="28"/>
      <c r="E120" s="28"/>
      <c r="F120" s="28"/>
      <c r="G120" s="28"/>
      <c r="H120" s="28"/>
      <c r="I120" s="28"/>
      <c r="K120" s="28"/>
      <c r="L120" s="28"/>
      <c r="N120" s="28"/>
      <c r="O120" s="28"/>
      <c r="P120" s="28"/>
      <c r="Q120" s="28"/>
      <c r="R120" s="28"/>
      <c r="S120" s="28"/>
      <c r="T120" s="28"/>
      <c r="V120" s="28"/>
      <c r="W120" s="28"/>
      <c r="X120" s="28"/>
      <c r="Y120" s="28"/>
      <c r="Z120" s="28"/>
      <c r="AA120" s="28"/>
      <c r="AB120" s="106" t="s">
        <v>94</v>
      </c>
      <c r="AC120" s="786">
        <f>SUM(AC114:AE118)</f>
        <v>0</v>
      </c>
      <c r="AD120" s="786"/>
      <c r="AE120" s="786"/>
      <c r="AF120" s="122" t="s">
        <v>46</v>
      </c>
      <c r="AG120" s="122"/>
      <c r="AH120" s="28"/>
      <c r="AK120" s="164" t="str">
        <f>CONCATENATE((TEXT((ROUNDDOWN(SUM(AC120),0)),"#'##0"))," [kWh]")</f>
        <v>0 [kWh]</v>
      </c>
      <c r="AL120" s="165" t="s">
        <v>97</v>
      </c>
    </row>
    <row r="121" spans="2:42" ht="15.75" customHeight="1" x14ac:dyDescent="0.2">
      <c r="B121" s="9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2:42" ht="8.1" customHeight="1" thickBot="1"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row>
    <row r="123" spans="2:42" ht="8.1" customHeight="1" thickTop="1" x14ac:dyDescent="0.2">
      <c r="B123" s="12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row>
    <row r="124" spans="2:42" ht="25.5" customHeight="1" x14ac:dyDescent="0.2">
      <c r="B124" s="138" t="s">
        <v>100</v>
      </c>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28"/>
      <c r="AA124" s="28"/>
      <c r="AB124" s="28"/>
      <c r="AC124" s="28"/>
      <c r="AD124" s="28"/>
      <c r="AE124" s="28"/>
      <c r="AF124" s="28"/>
      <c r="AG124" s="28"/>
      <c r="AH124" s="28"/>
    </row>
    <row r="125" spans="2:42" ht="8.1" customHeight="1" x14ac:dyDescent="0.2">
      <c r="B125" s="686"/>
      <c r="C125" s="686"/>
      <c r="D125" s="686"/>
      <c r="E125" s="686"/>
      <c r="F125" s="686"/>
      <c r="G125" s="686"/>
      <c r="H125" s="686"/>
      <c r="I125" s="686"/>
      <c r="J125" s="686"/>
      <c r="K125" s="686"/>
      <c r="L125" s="686"/>
      <c r="M125" s="686"/>
      <c r="N125" s="686"/>
      <c r="O125" s="686"/>
      <c r="P125" s="686"/>
      <c r="Q125" s="686"/>
      <c r="R125" s="686"/>
      <c r="S125" s="686"/>
      <c r="T125" s="686"/>
      <c r="U125" s="686"/>
      <c r="V125" s="686"/>
      <c r="W125" s="686"/>
      <c r="X125" s="686"/>
      <c r="Y125" s="686"/>
      <c r="Z125" s="28"/>
      <c r="AA125" s="28"/>
      <c r="AB125" s="28"/>
      <c r="AC125" s="28"/>
      <c r="AD125" s="28"/>
      <c r="AE125" s="28"/>
      <c r="AF125" s="28"/>
      <c r="AG125" s="28"/>
      <c r="AH125" s="28"/>
    </row>
    <row r="126" spans="2:42" ht="15.75" customHeight="1" x14ac:dyDescent="0.2">
      <c r="B126" s="100"/>
      <c r="C126" s="100" t="s">
        <v>101</v>
      </c>
      <c r="D126" s="30"/>
      <c r="E126" s="30"/>
      <c r="F126" s="30"/>
      <c r="G126" s="30"/>
      <c r="H126" s="30"/>
      <c r="I126" s="30"/>
      <c r="J126" s="30"/>
      <c r="K126" s="30"/>
      <c r="L126" s="30"/>
      <c r="M126" s="30"/>
      <c r="N126" s="30"/>
      <c r="O126" s="30"/>
      <c r="P126" s="30"/>
      <c r="Q126" s="30"/>
      <c r="R126" s="30"/>
      <c r="S126" s="30"/>
      <c r="T126" s="30"/>
      <c r="U126" s="30"/>
      <c r="V126" s="30"/>
      <c r="W126" s="30"/>
      <c r="X126" s="30"/>
      <c r="Y126" s="30"/>
      <c r="Z126" s="28"/>
      <c r="AA126" s="28"/>
      <c r="AB126" s="28"/>
      <c r="AC126" s="28"/>
      <c r="AD126" s="28"/>
      <c r="AE126" s="28"/>
      <c r="AF126" s="28"/>
      <c r="AG126" s="28"/>
      <c r="AH126" s="28"/>
    </row>
    <row r="127" spans="2:42" ht="8.1" customHeight="1" x14ac:dyDescent="0.2">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28"/>
      <c r="AA127" s="28"/>
      <c r="AB127" s="28"/>
      <c r="AC127" s="28"/>
      <c r="AD127" s="28"/>
      <c r="AE127" s="28"/>
      <c r="AF127" s="28"/>
      <c r="AG127" s="28"/>
      <c r="AH127" s="28"/>
    </row>
    <row r="128" spans="2:42" ht="15.75" customHeight="1" x14ac:dyDescent="0.2">
      <c r="B128" s="498" t="s">
        <v>31</v>
      </c>
      <c r="C128" s="499"/>
      <c r="D128" s="499"/>
      <c r="E128" s="499"/>
      <c r="F128" s="500"/>
      <c r="G128" s="498" t="s">
        <v>109</v>
      </c>
      <c r="H128" s="499"/>
      <c r="I128" s="499"/>
      <c r="J128" s="498" t="s">
        <v>30</v>
      </c>
      <c r="K128" s="499"/>
      <c r="L128" s="499"/>
      <c r="M128" s="499"/>
      <c r="N128" s="500"/>
      <c r="O128" s="498" t="s">
        <v>144</v>
      </c>
      <c r="P128" s="499"/>
      <c r="Q128" s="499"/>
      <c r="R128" s="499"/>
      <c r="S128" s="500"/>
      <c r="T128" s="498" t="s">
        <v>143</v>
      </c>
      <c r="U128" s="499"/>
      <c r="V128" s="499"/>
      <c r="W128" s="499"/>
      <c r="X128" s="499"/>
      <c r="Y128" s="499"/>
      <c r="Z128" s="500"/>
      <c r="AA128" s="28"/>
      <c r="AB128" s="680" t="s">
        <v>55</v>
      </c>
      <c r="AC128" s="680"/>
      <c r="AD128" s="680"/>
      <c r="AE128" s="680"/>
      <c r="AF128" s="680"/>
      <c r="AG128" s="680"/>
      <c r="AH128" s="28"/>
    </row>
    <row r="129" spans="2:38" ht="15.75" customHeight="1" x14ac:dyDescent="0.2">
      <c r="B129" s="501"/>
      <c r="C129" s="502"/>
      <c r="D129" s="502"/>
      <c r="E129" s="502"/>
      <c r="F129" s="503"/>
      <c r="G129" s="501"/>
      <c r="H129" s="502"/>
      <c r="I129" s="502"/>
      <c r="J129" s="501"/>
      <c r="K129" s="502"/>
      <c r="L129" s="502"/>
      <c r="M129" s="502"/>
      <c r="N129" s="503"/>
      <c r="O129" s="501"/>
      <c r="P129" s="502"/>
      <c r="Q129" s="502"/>
      <c r="R129" s="502"/>
      <c r="S129" s="503"/>
      <c r="T129" s="501"/>
      <c r="U129" s="502"/>
      <c r="V129" s="502"/>
      <c r="W129" s="502"/>
      <c r="X129" s="502"/>
      <c r="Y129" s="502"/>
      <c r="Z129" s="503"/>
      <c r="AA129" s="28"/>
      <c r="AB129" s="680"/>
      <c r="AC129" s="680"/>
      <c r="AD129" s="680"/>
      <c r="AE129" s="680"/>
      <c r="AF129" s="680"/>
      <c r="AG129" s="680"/>
      <c r="AH129" s="28"/>
    </row>
    <row r="130" spans="2:38" ht="15.75" customHeight="1" x14ac:dyDescent="0.2">
      <c r="B130" s="692"/>
      <c r="C130" s="693"/>
      <c r="D130" s="693"/>
      <c r="E130" s="693"/>
      <c r="F130" s="694"/>
      <c r="G130" s="789"/>
      <c r="H130" s="789"/>
      <c r="I130" s="789"/>
      <c r="J130" s="692"/>
      <c r="K130" s="693"/>
      <c r="L130" s="693"/>
      <c r="M130" s="693"/>
      <c r="N130" s="694"/>
      <c r="O130" s="790">
        <f>G130*J130/1000</f>
        <v>0</v>
      </c>
      <c r="P130" s="791"/>
      <c r="Q130" s="791"/>
      <c r="R130" s="791"/>
      <c r="S130" s="792"/>
      <c r="T130" s="692"/>
      <c r="U130" s="693"/>
      <c r="V130" s="693"/>
      <c r="W130" s="693"/>
      <c r="X130" s="693"/>
      <c r="Y130" s="693"/>
      <c r="Z130" s="694"/>
      <c r="AA130" s="28"/>
      <c r="AB130" s="788">
        <f>T130*O130</f>
        <v>0</v>
      </c>
      <c r="AC130" s="788"/>
      <c r="AD130" s="788"/>
      <c r="AE130" s="788"/>
      <c r="AF130" s="788"/>
      <c r="AG130" s="788"/>
      <c r="AH130" s="28"/>
    </row>
    <row r="131" spans="2:38" ht="15.75" customHeight="1" x14ac:dyDescent="0.2">
      <c r="B131" s="577"/>
      <c r="C131" s="578"/>
      <c r="D131" s="578"/>
      <c r="E131" s="578"/>
      <c r="F131" s="579"/>
      <c r="G131" s="787"/>
      <c r="H131" s="787"/>
      <c r="I131" s="787"/>
      <c r="J131" s="577"/>
      <c r="K131" s="578"/>
      <c r="L131" s="578"/>
      <c r="M131" s="578"/>
      <c r="N131" s="579"/>
      <c r="O131" s="507"/>
      <c r="P131" s="508"/>
      <c r="Q131" s="508"/>
      <c r="R131" s="508"/>
      <c r="S131" s="509"/>
      <c r="T131" s="577"/>
      <c r="U131" s="578"/>
      <c r="V131" s="578"/>
      <c r="W131" s="578"/>
      <c r="X131" s="578"/>
      <c r="Y131" s="578"/>
      <c r="Z131" s="579"/>
      <c r="AA131" s="28"/>
      <c r="AB131" s="788">
        <f t="shared" ref="AB131:AB133" si="0">G131*J131/1000*T131</f>
        <v>0</v>
      </c>
      <c r="AC131" s="788"/>
      <c r="AD131" s="788"/>
      <c r="AE131" s="788"/>
      <c r="AF131" s="788"/>
      <c r="AG131" s="788"/>
      <c r="AH131" s="28"/>
    </row>
    <row r="132" spans="2:38" ht="15.75" customHeight="1" x14ac:dyDescent="0.2">
      <c r="B132" s="577"/>
      <c r="C132" s="578"/>
      <c r="D132" s="578"/>
      <c r="E132" s="578"/>
      <c r="F132" s="579"/>
      <c r="G132" s="787"/>
      <c r="H132" s="787"/>
      <c r="I132" s="787"/>
      <c r="J132" s="577"/>
      <c r="K132" s="578"/>
      <c r="L132" s="578"/>
      <c r="M132" s="578"/>
      <c r="N132" s="579"/>
      <c r="O132" s="507"/>
      <c r="P132" s="508"/>
      <c r="Q132" s="508"/>
      <c r="R132" s="508"/>
      <c r="S132" s="509"/>
      <c r="T132" s="577"/>
      <c r="U132" s="578"/>
      <c r="V132" s="578"/>
      <c r="W132" s="578"/>
      <c r="X132" s="578"/>
      <c r="Y132" s="578"/>
      <c r="Z132" s="579"/>
      <c r="AA132" s="28"/>
      <c r="AB132" s="788">
        <f t="shared" si="0"/>
        <v>0</v>
      </c>
      <c r="AC132" s="788"/>
      <c r="AD132" s="788"/>
      <c r="AE132" s="788"/>
      <c r="AF132" s="788"/>
      <c r="AG132" s="788"/>
      <c r="AH132" s="28"/>
    </row>
    <row r="133" spans="2:38" ht="15.75" customHeight="1" x14ac:dyDescent="0.2">
      <c r="B133" s="593"/>
      <c r="C133" s="594"/>
      <c r="D133" s="594"/>
      <c r="E133" s="594"/>
      <c r="F133" s="595"/>
      <c r="G133" s="793"/>
      <c r="H133" s="793"/>
      <c r="I133" s="793"/>
      <c r="J133" s="593"/>
      <c r="K133" s="594"/>
      <c r="L133" s="594"/>
      <c r="M133" s="594"/>
      <c r="N133" s="595"/>
      <c r="O133" s="794"/>
      <c r="P133" s="795"/>
      <c r="Q133" s="795"/>
      <c r="R133" s="795"/>
      <c r="S133" s="796"/>
      <c r="T133" s="593"/>
      <c r="U133" s="594"/>
      <c r="V133" s="594"/>
      <c r="W133" s="594"/>
      <c r="X133" s="594"/>
      <c r="Y133" s="594"/>
      <c r="Z133" s="595"/>
      <c r="AA133" s="28"/>
      <c r="AB133" s="788">
        <f t="shared" si="0"/>
        <v>0</v>
      </c>
      <c r="AC133" s="788"/>
      <c r="AD133" s="788"/>
      <c r="AE133" s="788"/>
      <c r="AF133" s="788"/>
      <c r="AG133" s="788"/>
      <c r="AH133" s="28"/>
    </row>
    <row r="134" spans="2:38" ht="15.75" customHeight="1" x14ac:dyDescent="0.2">
      <c r="B134" s="28"/>
      <c r="C134" s="52"/>
      <c r="D134" s="52"/>
      <c r="E134" s="52"/>
      <c r="F134" s="52"/>
      <c r="G134" s="52"/>
      <c r="H134" s="52"/>
      <c r="I134" s="52"/>
      <c r="J134" s="52"/>
      <c r="K134" s="52"/>
      <c r="L134" s="52"/>
      <c r="M134" s="52"/>
      <c r="N134" s="52"/>
      <c r="O134" s="52"/>
      <c r="P134" s="52"/>
      <c r="Q134" s="52"/>
      <c r="R134" s="28"/>
      <c r="S134" s="37"/>
      <c r="T134" s="28"/>
      <c r="U134" s="28"/>
      <c r="V134" s="20"/>
      <c r="W134" s="20"/>
      <c r="X134" s="20"/>
      <c r="Y134" s="20"/>
      <c r="Z134" s="20"/>
      <c r="AA134" s="20"/>
      <c r="AB134" s="810">
        <f>SUM(AB130:AG133)</f>
        <v>0</v>
      </c>
      <c r="AC134" s="811"/>
      <c r="AD134" s="811"/>
      <c r="AE134" s="811"/>
      <c r="AF134" s="811"/>
      <c r="AG134" s="812"/>
      <c r="AH134" s="28"/>
      <c r="AJ134" s="150"/>
    </row>
    <row r="135" spans="2:38" ht="8.1" customHeight="1" x14ac:dyDescent="0.2">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0"/>
      <c r="AA135" s="20"/>
      <c r="AB135" s="20"/>
      <c r="AC135" s="20"/>
      <c r="AD135" s="20"/>
      <c r="AE135" s="20"/>
      <c r="AF135" s="21"/>
      <c r="AG135" s="22"/>
      <c r="AH135" s="22"/>
      <c r="AJ135" s="150"/>
    </row>
    <row r="136" spans="2:38" ht="15.75" customHeight="1" x14ac:dyDescent="0.2">
      <c r="B136" s="28"/>
      <c r="C136" s="52"/>
      <c r="D136" s="52"/>
      <c r="E136" s="52"/>
      <c r="F136" s="52"/>
      <c r="G136" s="52"/>
      <c r="H136" s="52"/>
      <c r="I136" s="52"/>
      <c r="J136" s="52"/>
      <c r="K136" s="52"/>
      <c r="L136" s="52"/>
      <c r="M136" s="52"/>
      <c r="N136" s="52"/>
      <c r="O136" s="52"/>
      <c r="P136" s="52"/>
      <c r="Q136" s="52"/>
      <c r="R136" s="28"/>
      <c r="S136" s="37"/>
      <c r="T136" s="28"/>
      <c r="U136" s="28"/>
      <c r="V136" s="20"/>
      <c r="W136" s="20"/>
      <c r="X136" s="20"/>
      <c r="Y136" s="20"/>
      <c r="Z136" s="20"/>
      <c r="AA136" s="20"/>
      <c r="AB136" s="20"/>
      <c r="AC136" s="20"/>
      <c r="AD136" s="20"/>
      <c r="AE136" s="20"/>
      <c r="AF136" s="21"/>
      <c r="AG136" s="22"/>
      <c r="AH136" s="22"/>
      <c r="AJ136" s="150"/>
    </row>
    <row r="137" spans="2:38" ht="15.75" customHeight="1" x14ac:dyDescent="0.2">
      <c r="B137" s="100"/>
      <c r="C137" s="100" t="s">
        <v>102</v>
      </c>
      <c r="D137" s="30"/>
      <c r="E137" s="30"/>
      <c r="F137" s="30"/>
      <c r="G137" s="30"/>
      <c r="H137" s="30"/>
      <c r="I137" s="30"/>
      <c r="J137" s="30"/>
      <c r="K137" s="30"/>
      <c r="L137" s="30"/>
      <c r="M137" s="30"/>
      <c r="N137" s="30"/>
      <c r="O137" s="30"/>
      <c r="P137" s="30"/>
      <c r="Q137" s="30"/>
      <c r="R137" s="30"/>
      <c r="S137" s="30"/>
      <c r="T137" s="30"/>
      <c r="U137" s="30"/>
      <c r="V137" s="30"/>
      <c r="W137" s="30"/>
      <c r="X137" s="30"/>
      <c r="Y137" s="30"/>
      <c r="Z137" s="20"/>
      <c r="AA137" s="20"/>
      <c r="AB137" s="565" t="s">
        <v>103</v>
      </c>
      <c r="AC137" s="566"/>
      <c r="AD137" s="566"/>
      <c r="AE137" s="566"/>
      <c r="AF137" s="566"/>
      <c r="AG137" s="567"/>
      <c r="AH137" s="28"/>
      <c r="AJ137" s="150"/>
      <c r="AK137" s="149"/>
      <c r="AL137" s="150"/>
    </row>
    <row r="138" spans="2:38" ht="15.75" customHeight="1" x14ac:dyDescent="0.2">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590" t="s">
        <v>46</v>
      </c>
      <c r="AC138" s="591"/>
      <c r="AD138" s="591"/>
      <c r="AE138" s="591"/>
      <c r="AF138" s="591"/>
      <c r="AG138" s="592"/>
      <c r="AH138" s="28"/>
      <c r="AJ138" s="150"/>
      <c r="AK138" s="149"/>
      <c r="AL138" s="150"/>
    </row>
    <row r="139" spans="2:38" ht="15.75" customHeight="1" x14ac:dyDescent="0.2">
      <c r="B139" s="28"/>
      <c r="C139" s="28" t="s">
        <v>99</v>
      </c>
      <c r="D139" s="52"/>
      <c r="E139" s="52"/>
      <c r="F139" s="52"/>
      <c r="G139" s="52"/>
      <c r="H139" s="52"/>
      <c r="I139" s="568"/>
      <c r="J139" s="569"/>
      <c r="K139" s="569"/>
      <c r="L139" s="569"/>
      <c r="M139" s="569"/>
      <c r="N139" s="569"/>
      <c r="O139" s="569"/>
      <c r="P139" s="569"/>
      <c r="Q139" s="569"/>
      <c r="R139" s="569"/>
      <c r="S139" s="569"/>
      <c r="T139" s="569"/>
      <c r="U139" s="569"/>
      <c r="V139" s="569"/>
      <c r="W139" s="569"/>
      <c r="X139" s="569"/>
      <c r="Y139" s="569"/>
      <c r="Z139" s="570"/>
      <c r="AA139" s="19"/>
      <c r="AB139" s="807"/>
      <c r="AC139" s="808"/>
      <c r="AD139" s="808"/>
      <c r="AE139" s="808"/>
      <c r="AF139" s="808"/>
      <c r="AG139" s="809"/>
      <c r="AH139" s="28"/>
      <c r="AJ139" s="150"/>
      <c r="AK139" s="149"/>
      <c r="AL139" s="150"/>
    </row>
    <row r="140" spans="2:38" ht="15.75" customHeight="1" x14ac:dyDescent="0.2">
      <c r="B140" s="28"/>
      <c r="C140" s="52"/>
      <c r="D140" s="52"/>
      <c r="E140" s="52"/>
      <c r="F140" s="52"/>
      <c r="G140" s="52"/>
      <c r="H140" s="52"/>
      <c r="I140" s="28"/>
      <c r="J140" s="52"/>
      <c r="K140" s="52"/>
      <c r="L140" s="52"/>
      <c r="M140" s="52"/>
      <c r="N140" s="52"/>
      <c r="O140" s="52"/>
      <c r="P140" s="52"/>
      <c r="Q140" s="52"/>
      <c r="R140" s="28"/>
      <c r="S140" s="37"/>
      <c r="T140" s="28"/>
      <c r="U140" s="28"/>
      <c r="V140" s="20"/>
      <c r="W140" s="20"/>
      <c r="X140" s="20"/>
      <c r="Y140" s="20"/>
      <c r="Z140" s="20"/>
      <c r="AA140" s="20"/>
      <c r="AB140" s="20"/>
      <c r="AC140" s="28"/>
      <c r="AD140" s="20"/>
      <c r="AE140" s="20"/>
      <c r="AF140" s="21"/>
      <c r="AG140" s="123" t="str">
        <f>IF(AB139&lt;&gt;0,"Joindre les caractéristiques techniques de la production d'électricité","")</f>
        <v/>
      </c>
      <c r="AH140" s="22"/>
      <c r="AJ140" s="150"/>
      <c r="AK140" s="149"/>
      <c r="AL140" s="150"/>
    </row>
    <row r="141" spans="2:38" ht="15.75" customHeight="1" x14ac:dyDescent="0.2">
      <c r="B141" s="28"/>
      <c r="C141" s="52"/>
      <c r="D141" s="52"/>
      <c r="E141" s="52"/>
      <c r="F141" s="52"/>
      <c r="G141" s="52"/>
      <c r="H141" s="52"/>
      <c r="I141" s="28"/>
      <c r="J141" s="52"/>
      <c r="K141" s="52"/>
      <c r="L141" s="52"/>
      <c r="M141" s="52"/>
      <c r="N141" s="52"/>
      <c r="O141" s="52"/>
      <c r="P141" s="52"/>
      <c r="Q141" s="52"/>
      <c r="R141" s="28"/>
      <c r="S141" s="37"/>
      <c r="T141" s="28"/>
      <c r="U141" s="28"/>
      <c r="V141" s="20"/>
      <c r="W141" s="20"/>
      <c r="X141" s="20"/>
      <c r="Y141" s="20"/>
      <c r="Z141" s="20"/>
      <c r="AA141" s="20"/>
      <c r="AB141" s="20"/>
      <c r="AC141" s="28"/>
      <c r="AD141" s="20"/>
      <c r="AE141" s="20"/>
      <c r="AF141" s="21"/>
      <c r="AG141" s="123" t="str">
        <f>IF(AB139&lt;&gt;0,"et le justificatif EN-VS-133","")</f>
        <v/>
      </c>
      <c r="AH141" s="22"/>
      <c r="AJ141" s="150"/>
      <c r="AK141" s="149"/>
      <c r="AL141" s="150"/>
    </row>
    <row r="142" spans="2:38" ht="8.1" customHeight="1" x14ac:dyDescent="0.2">
      <c r="B142" s="28"/>
      <c r="C142" s="52"/>
      <c r="D142" s="52"/>
      <c r="E142" s="52"/>
      <c r="F142" s="52"/>
      <c r="G142" s="52"/>
      <c r="H142" s="52"/>
      <c r="I142" s="101"/>
      <c r="J142" s="52"/>
      <c r="K142" s="52"/>
      <c r="L142" s="52"/>
      <c r="M142" s="52"/>
      <c r="N142" s="52"/>
      <c r="O142" s="52"/>
      <c r="P142" s="52"/>
      <c r="Q142" s="52"/>
      <c r="R142" s="28"/>
      <c r="S142" s="37"/>
      <c r="T142" s="28"/>
      <c r="U142" s="28"/>
      <c r="V142" s="20"/>
      <c r="W142" s="20"/>
      <c r="X142" s="20"/>
      <c r="Y142" s="20"/>
      <c r="Z142" s="20"/>
      <c r="AA142" s="28"/>
      <c r="AB142" s="28"/>
      <c r="AC142" s="28"/>
      <c r="AD142" s="28"/>
      <c r="AE142" s="28"/>
      <c r="AF142" s="28"/>
      <c r="AG142" s="28"/>
      <c r="AH142" s="22"/>
      <c r="AJ142" s="150"/>
      <c r="AK142" s="149"/>
      <c r="AL142" s="150"/>
    </row>
    <row r="143" spans="2:38" ht="15.75" customHeight="1" x14ac:dyDescent="0.2">
      <c r="B143" s="28"/>
      <c r="C143" s="52"/>
      <c r="D143" s="52"/>
      <c r="E143" s="52"/>
      <c r="F143" s="52"/>
      <c r="G143" s="52"/>
      <c r="H143" s="52"/>
      <c r="I143" s="52"/>
      <c r="J143" s="52"/>
      <c r="K143" s="52"/>
      <c r="L143" s="52"/>
      <c r="M143" s="52"/>
      <c r="N143" s="52"/>
      <c r="O143" s="52"/>
      <c r="P143" s="52"/>
      <c r="Q143" s="52"/>
      <c r="R143" s="28"/>
      <c r="T143" s="28"/>
      <c r="U143" s="28"/>
      <c r="W143" s="99"/>
      <c r="X143" s="99"/>
      <c r="Y143" s="99"/>
      <c r="Z143" s="99"/>
      <c r="AA143" s="22" t="s">
        <v>98</v>
      </c>
      <c r="AB143" s="813" t="str">
        <f>CONCATENATE((TEXT((ROUNDDOWN(AB134+AB139,0)),"#'##0"))," [kWh]")</f>
        <v>0 [kWh]</v>
      </c>
      <c r="AC143" s="813"/>
      <c r="AD143" s="813"/>
      <c r="AE143" s="813"/>
      <c r="AF143" s="813"/>
      <c r="AG143" s="813"/>
      <c r="AH143" s="28"/>
      <c r="AJ143" s="166">
        <f>SUM(AB130:AG133)+AB139</f>
        <v>0</v>
      </c>
      <c r="AK143" s="165" t="s">
        <v>45</v>
      </c>
      <c r="AL143" s="165" t="s">
        <v>89</v>
      </c>
    </row>
    <row r="144" spans="2:38" ht="8.1" customHeight="1" x14ac:dyDescent="0.2">
      <c r="B144" s="28"/>
      <c r="C144" s="52"/>
      <c r="D144" s="52"/>
      <c r="E144" s="52"/>
      <c r="F144" s="52"/>
      <c r="G144" s="52"/>
      <c r="H144" s="52"/>
      <c r="I144" s="101"/>
      <c r="J144" s="52"/>
      <c r="K144" s="52"/>
      <c r="L144" s="52"/>
      <c r="M144" s="52"/>
      <c r="N144" s="52"/>
      <c r="O144" s="52"/>
      <c r="P144" s="52"/>
      <c r="Q144" s="52"/>
      <c r="R144" s="28"/>
      <c r="S144" s="37"/>
      <c r="T144" s="28"/>
      <c r="U144" s="28"/>
      <c r="V144" s="20"/>
      <c r="W144" s="20"/>
      <c r="X144" s="20"/>
      <c r="Y144" s="20"/>
      <c r="Z144" s="20"/>
      <c r="AA144" s="20"/>
      <c r="AB144" s="20"/>
      <c r="AC144" s="20"/>
      <c r="AD144" s="20"/>
      <c r="AE144" s="20"/>
      <c r="AF144" s="21"/>
      <c r="AG144" s="22"/>
      <c r="AH144" s="22"/>
      <c r="AJ144" s="150"/>
      <c r="AK144" s="149"/>
      <c r="AL144" s="150"/>
    </row>
    <row r="145" spans="1:40" ht="15.75" customHeight="1" x14ac:dyDescent="0.2">
      <c r="B145" s="52"/>
      <c r="C145" s="52"/>
      <c r="D145" s="52"/>
      <c r="E145" s="52"/>
      <c r="F145" s="52"/>
      <c r="G145" s="52"/>
      <c r="H145" s="52"/>
      <c r="I145" s="52"/>
      <c r="J145" s="52"/>
      <c r="K145" s="52"/>
      <c r="L145" s="52"/>
      <c r="M145" s="52"/>
      <c r="N145" s="52"/>
      <c r="O145" s="52"/>
      <c r="P145" s="52"/>
      <c r="Q145" s="52"/>
      <c r="R145" s="52"/>
      <c r="S145" s="28"/>
      <c r="T145" s="28"/>
      <c r="U145" s="28"/>
      <c r="V145" s="20"/>
      <c r="W145" s="20"/>
      <c r="X145" s="20"/>
      <c r="Y145" s="20"/>
      <c r="Z145" s="20"/>
      <c r="AA145" s="20"/>
      <c r="AB145" s="20"/>
      <c r="AC145" s="20"/>
      <c r="AD145" s="20"/>
      <c r="AE145" s="20"/>
      <c r="AF145" s="21"/>
      <c r="AG145" s="22"/>
      <c r="AH145" s="22"/>
      <c r="AJ145" s="167">
        <f>AJ143-AC120</f>
        <v>0</v>
      </c>
      <c r="AK145" s="149" t="s">
        <v>45</v>
      </c>
      <c r="AL145" s="168" t="str">
        <f>IF(AJ143&gt;AC120,"ok","non-conf")</f>
        <v>non-conf</v>
      </c>
    </row>
    <row r="146" spans="1:40" ht="16.5" customHeight="1" x14ac:dyDescent="0.2">
      <c r="B146" s="797" t="str">
        <f>CONCATENATE(AL150," ",AB143," ",IF((AJ143&gt;=AC120),AL151,AL152)," ",AK120," ",(IF(AM153&lt;&gt;0,(CONCATENATE(AL153," ",AM154)),"")))</f>
        <v xml:space="preserve">La production d'électricité solaire totale annuelle estimée à 0 [kWh] est bien supérieure aux exigences légales de 0 [kWh] </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c r="AA146" s="798"/>
      <c r="AB146" s="798"/>
      <c r="AC146" s="798"/>
      <c r="AD146" s="798"/>
      <c r="AE146" s="798"/>
      <c r="AF146" s="798"/>
      <c r="AG146" s="799"/>
      <c r="AH146" s="124"/>
    </row>
    <row r="147" spans="1:40" ht="16.5" customHeight="1" x14ac:dyDescent="0.2">
      <c r="B147" s="800"/>
      <c r="C147" s="801"/>
      <c r="D147" s="801"/>
      <c r="E147" s="801"/>
      <c r="F147" s="801"/>
      <c r="G147" s="801"/>
      <c r="H147" s="801"/>
      <c r="I147" s="801"/>
      <c r="J147" s="801"/>
      <c r="K147" s="801"/>
      <c r="L147" s="801"/>
      <c r="M147" s="801"/>
      <c r="N147" s="801"/>
      <c r="O147" s="801"/>
      <c r="P147" s="801"/>
      <c r="Q147" s="801"/>
      <c r="R147" s="801"/>
      <c r="S147" s="801"/>
      <c r="T147" s="801"/>
      <c r="U147" s="801"/>
      <c r="V147" s="801"/>
      <c r="W147" s="801"/>
      <c r="X147" s="801"/>
      <c r="Y147" s="801"/>
      <c r="Z147" s="801"/>
      <c r="AA147" s="801"/>
      <c r="AB147" s="801"/>
      <c r="AC147" s="801"/>
      <c r="AD147" s="801"/>
      <c r="AE147" s="801"/>
      <c r="AF147" s="801"/>
      <c r="AG147" s="802"/>
      <c r="AH147" s="124"/>
      <c r="AM147" s="169"/>
    </row>
    <row r="148" spans="1:40" ht="8.1" customHeight="1" x14ac:dyDescent="0.2">
      <c r="B148" s="803"/>
      <c r="C148" s="804"/>
      <c r="D148" s="804"/>
      <c r="E148" s="804"/>
      <c r="F148" s="804"/>
      <c r="G148" s="804"/>
      <c r="H148" s="804"/>
      <c r="I148" s="804"/>
      <c r="J148" s="804"/>
      <c r="K148" s="804"/>
      <c r="L148" s="804"/>
      <c r="M148" s="804"/>
      <c r="N148" s="804"/>
      <c r="O148" s="804"/>
      <c r="P148" s="804"/>
      <c r="Q148" s="804"/>
      <c r="R148" s="804"/>
      <c r="S148" s="804"/>
      <c r="T148" s="804"/>
      <c r="U148" s="804"/>
      <c r="V148" s="804"/>
      <c r="W148" s="804"/>
      <c r="X148" s="804"/>
      <c r="Y148" s="804"/>
      <c r="Z148" s="804"/>
      <c r="AA148" s="804"/>
      <c r="AB148" s="804"/>
      <c r="AC148" s="804"/>
      <c r="AD148" s="804"/>
      <c r="AE148" s="804"/>
      <c r="AF148" s="804"/>
      <c r="AG148" s="805"/>
      <c r="AH148" s="22"/>
      <c r="AM148" s="149"/>
      <c r="AN148" s="149"/>
    </row>
    <row r="149" spans="1:40" ht="15.75" customHeight="1" x14ac:dyDescent="0.2">
      <c r="A149" s="28"/>
      <c r="B149" s="38" t="s">
        <v>145</v>
      </c>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L149" s="149" t="s">
        <v>34</v>
      </c>
      <c r="AM149" s="149"/>
      <c r="AN149" s="149"/>
    </row>
    <row r="150" spans="1:40" ht="15.75" customHeight="1" x14ac:dyDescent="0.2">
      <c r="B150" s="806"/>
      <c r="C150" s="806"/>
      <c r="D150" s="806"/>
      <c r="E150" s="806"/>
      <c r="F150" s="806"/>
      <c r="G150" s="806"/>
      <c r="H150" s="806"/>
      <c r="I150" s="806"/>
      <c r="J150" s="806"/>
      <c r="K150" s="806"/>
      <c r="L150" s="806"/>
      <c r="M150" s="806"/>
      <c r="N150" s="806"/>
      <c r="O150" s="806"/>
      <c r="P150" s="806"/>
      <c r="Q150" s="806"/>
      <c r="R150" s="806"/>
      <c r="S150" s="806"/>
      <c r="T150" s="806"/>
      <c r="U150" s="806"/>
      <c r="V150" s="806"/>
      <c r="W150" s="806"/>
      <c r="X150" s="806"/>
      <c r="Y150" s="806"/>
      <c r="Z150" s="806"/>
      <c r="AA150" s="806"/>
      <c r="AB150" s="806"/>
      <c r="AC150" s="806"/>
      <c r="AD150" s="806"/>
      <c r="AE150" s="806"/>
      <c r="AF150" s="806"/>
      <c r="AG150" s="806"/>
      <c r="AH150" s="16"/>
      <c r="AL150" s="149" t="s">
        <v>35</v>
      </c>
      <c r="AM150" s="149"/>
      <c r="AN150" s="149"/>
    </row>
    <row r="151" spans="1:40" ht="15.75" customHeight="1" x14ac:dyDescent="0.2">
      <c r="B151" s="806"/>
      <c r="C151" s="806"/>
      <c r="D151" s="806"/>
      <c r="E151" s="806"/>
      <c r="F151" s="806"/>
      <c r="G151" s="806"/>
      <c r="H151" s="806"/>
      <c r="I151" s="806"/>
      <c r="J151" s="806"/>
      <c r="K151" s="806"/>
      <c r="L151" s="806"/>
      <c r="M151" s="806"/>
      <c r="N151" s="806"/>
      <c r="O151" s="806"/>
      <c r="P151" s="806"/>
      <c r="Q151" s="806"/>
      <c r="R151" s="806"/>
      <c r="S151" s="806"/>
      <c r="T151" s="806"/>
      <c r="U151" s="806"/>
      <c r="V151" s="806"/>
      <c r="W151" s="806"/>
      <c r="X151" s="806"/>
      <c r="Y151" s="806"/>
      <c r="Z151" s="806"/>
      <c r="AA151" s="806"/>
      <c r="AB151" s="806"/>
      <c r="AC151" s="806"/>
      <c r="AD151" s="806"/>
      <c r="AE151" s="806"/>
      <c r="AF151" s="806"/>
      <c r="AG151" s="806"/>
      <c r="AH151" s="16"/>
      <c r="AL151" s="149" t="s">
        <v>32</v>
      </c>
      <c r="AM151" s="149"/>
      <c r="AN151" s="149"/>
    </row>
    <row r="152" spans="1:40" ht="15.75" customHeight="1" x14ac:dyDescent="0.2">
      <c r="B152" s="806"/>
      <c r="C152" s="806"/>
      <c r="D152" s="806"/>
      <c r="E152" s="806"/>
      <c r="F152" s="806"/>
      <c r="G152" s="806"/>
      <c r="H152" s="806"/>
      <c r="I152" s="806"/>
      <c r="J152" s="806"/>
      <c r="K152" s="806"/>
      <c r="L152" s="806"/>
      <c r="M152" s="806"/>
      <c r="N152" s="806"/>
      <c r="O152" s="806"/>
      <c r="P152" s="806"/>
      <c r="Q152" s="806"/>
      <c r="R152" s="806"/>
      <c r="S152" s="806"/>
      <c r="T152" s="806"/>
      <c r="U152" s="806"/>
      <c r="V152" s="806"/>
      <c r="W152" s="806"/>
      <c r="X152" s="806"/>
      <c r="Y152" s="806"/>
      <c r="Z152" s="806"/>
      <c r="AA152" s="806"/>
      <c r="AB152" s="806"/>
      <c r="AC152" s="806"/>
      <c r="AD152" s="806"/>
      <c r="AE152" s="806"/>
      <c r="AF152" s="806"/>
      <c r="AG152" s="806"/>
      <c r="AH152" s="16"/>
      <c r="AL152" s="149" t="s">
        <v>33</v>
      </c>
      <c r="AM152" s="149"/>
      <c r="AN152" s="149"/>
    </row>
    <row r="153" spans="1:40" ht="8.1" customHeight="1" x14ac:dyDescent="0.2">
      <c r="B153" s="38"/>
      <c r="C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L153" s="149" t="s">
        <v>108</v>
      </c>
      <c r="AM153" s="170">
        <f>IF((AC120-AJ143)&lt;=0,0,AC120-AJ143)</f>
        <v>0</v>
      </c>
      <c r="AN153" s="149" t="s">
        <v>46</v>
      </c>
    </row>
    <row r="154" spans="1:40" ht="15.75" customHeight="1" x14ac:dyDescent="0.2">
      <c r="B154" s="28"/>
      <c r="C154" s="132" t="s">
        <v>146</v>
      </c>
      <c r="D154" s="132"/>
      <c r="E154" s="133"/>
      <c r="F154" s="133"/>
      <c r="G154" s="133"/>
      <c r="H154" s="133"/>
      <c r="I154" s="133"/>
      <c r="J154" s="133"/>
      <c r="K154" s="133"/>
      <c r="L154" s="133"/>
      <c r="M154" s="133"/>
      <c r="N154" s="133"/>
      <c r="O154" s="133"/>
      <c r="P154" s="133"/>
      <c r="Q154" s="133"/>
      <c r="R154" s="133"/>
      <c r="S154" s="133"/>
      <c r="T154" s="133"/>
      <c r="U154" s="133"/>
      <c r="V154" s="133"/>
      <c r="W154" s="133"/>
      <c r="X154" s="133"/>
      <c r="Y154" s="102"/>
      <c r="Z154" s="28"/>
      <c r="AA154" s="28"/>
      <c r="AB154" s="565" t="s">
        <v>103</v>
      </c>
      <c r="AC154" s="566"/>
      <c r="AD154" s="566"/>
      <c r="AE154" s="566"/>
      <c r="AF154" s="566"/>
      <c r="AG154" s="567"/>
      <c r="AH154" s="28"/>
      <c r="AJ154" s="149" t="b">
        <v>0</v>
      </c>
      <c r="AK154" s="149"/>
      <c r="AM154" s="153" t="str">
        <f>CONCATENATE((TEXT((ROUNDDOWN(AM153,0)),"#'##0"))," [kWh]")</f>
        <v>0 [kWh]</v>
      </c>
    </row>
    <row r="155" spans="1:40" ht="15.75" customHeight="1" x14ac:dyDescent="0.2">
      <c r="B155" s="28"/>
      <c r="C155" s="134" t="s">
        <v>147</v>
      </c>
      <c r="D155" s="134"/>
      <c r="E155" s="133"/>
      <c r="F155" s="133"/>
      <c r="G155" s="133"/>
      <c r="H155" s="133"/>
      <c r="I155" s="133"/>
      <c r="J155" s="133"/>
      <c r="K155" s="133"/>
      <c r="L155" s="133"/>
      <c r="M155" s="133"/>
      <c r="N155" s="133"/>
      <c r="O155" s="133"/>
      <c r="P155" s="133"/>
      <c r="Q155" s="133"/>
      <c r="R155" s="133"/>
      <c r="S155" s="133"/>
      <c r="T155" s="133"/>
      <c r="U155" s="133"/>
      <c r="V155" s="133"/>
      <c r="W155" s="133"/>
      <c r="X155" s="133"/>
      <c r="Y155" s="102"/>
      <c r="Z155" s="28"/>
      <c r="AA155" s="28"/>
      <c r="AB155" s="590" t="s">
        <v>46</v>
      </c>
      <c r="AC155" s="591"/>
      <c r="AD155" s="591"/>
      <c r="AE155" s="591"/>
      <c r="AF155" s="591"/>
      <c r="AG155" s="592"/>
      <c r="AH155" s="28"/>
      <c r="AJ155" s="150"/>
      <c r="AK155" s="149"/>
      <c r="AL155" s="150"/>
    </row>
    <row r="156" spans="1:40" ht="15.75" customHeight="1" x14ac:dyDescent="0.2">
      <c r="B156" s="28"/>
      <c r="C156" s="52"/>
      <c r="D156" s="196" t="str">
        <f>IF(AJ154=TRUE,"Fournir dossier selon OcEne art.59 et mentionner la production escomptée ci-contre","")</f>
        <v/>
      </c>
      <c r="E156" s="52"/>
      <c r="F156" s="52"/>
      <c r="G156" s="52"/>
      <c r="H156" s="52"/>
      <c r="I156" s="101"/>
      <c r="J156" s="52"/>
      <c r="K156" s="52"/>
      <c r="L156" s="52"/>
      <c r="M156" s="52"/>
      <c r="N156" s="52"/>
      <c r="O156" s="52"/>
      <c r="P156" s="52"/>
      <c r="Q156" s="52"/>
      <c r="R156" s="28"/>
      <c r="S156" s="37"/>
      <c r="T156" s="28"/>
      <c r="U156" s="28"/>
      <c r="V156" s="20"/>
      <c r="W156" s="20"/>
      <c r="X156" s="20"/>
      <c r="Y156" s="28"/>
      <c r="AA156" s="123"/>
      <c r="AB156" s="807"/>
      <c r="AC156" s="808"/>
      <c r="AD156" s="808"/>
      <c r="AE156" s="808"/>
      <c r="AF156" s="808"/>
      <c r="AG156" s="809"/>
      <c r="AH156" s="28"/>
      <c r="AJ156" s="150"/>
      <c r="AK156" s="149"/>
      <c r="AL156" s="150"/>
    </row>
    <row r="157" spans="1:40" ht="8.1" customHeight="1" thickBot="1" x14ac:dyDescent="0.25">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M157" s="149"/>
      <c r="AN157" s="149"/>
    </row>
    <row r="158" spans="1:40" ht="8.1" customHeight="1" x14ac:dyDescent="0.2">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row>
    <row r="159" spans="1:40" ht="15.75" customHeight="1" x14ac:dyDescent="0.2">
      <c r="B159" s="34" t="s">
        <v>69</v>
      </c>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row>
    <row r="160" spans="1:40" ht="8.1" customHeight="1" x14ac:dyDescent="0.2">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row>
    <row r="161" spans="2:34" ht="15.75" customHeight="1" x14ac:dyDescent="0.2">
      <c r="B161" s="1"/>
      <c r="C161" s="104"/>
      <c r="D161" s="104" t="s">
        <v>165</v>
      </c>
      <c r="E161" s="28"/>
      <c r="F161" s="28"/>
      <c r="G161" s="28"/>
      <c r="H161" s="28"/>
      <c r="I161" s="28"/>
      <c r="J161" s="28"/>
      <c r="K161" s="28"/>
      <c r="L161" s="28"/>
      <c r="M161" s="28"/>
      <c r="N161" s="28"/>
      <c r="O161" s="28"/>
      <c r="P161" s="28"/>
      <c r="Q161" s="28"/>
      <c r="R161" s="70"/>
      <c r="S161" s="28"/>
      <c r="T161" s="28"/>
      <c r="U161" s="28"/>
      <c r="V161" s="28"/>
      <c r="W161" s="28"/>
      <c r="X161" s="28"/>
      <c r="Y161" s="28"/>
      <c r="Z161" s="28"/>
      <c r="AA161" s="28"/>
      <c r="AB161" s="28"/>
      <c r="AC161" s="28"/>
      <c r="AD161" s="28"/>
      <c r="AE161" s="28"/>
      <c r="AF161" s="28"/>
      <c r="AG161" s="28"/>
      <c r="AH161" s="28"/>
    </row>
    <row r="162" spans="2:34" ht="15.75" customHeight="1" x14ac:dyDescent="0.2">
      <c r="B162" s="1"/>
      <c r="C162" s="77"/>
      <c r="D162" s="77" t="s">
        <v>168</v>
      </c>
      <c r="E162" s="28"/>
      <c r="F162" s="28"/>
      <c r="G162" s="28"/>
      <c r="H162" s="28"/>
      <c r="I162" s="28"/>
      <c r="J162" s="28"/>
      <c r="K162" s="28"/>
      <c r="L162" s="28"/>
      <c r="M162" s="28"/>
      <c r="N162" s="28"/>
      <c r="O162" s="28"/>
      <c r="P162" s="28"/>
      <c r="Q162" s="28"/>
      <c r="R162" s="70"/>
      <c r="S162" s="28"/>
      <c r="T162" s="28"/>
      <c r="U162" s="28"/>
      <c r="V162" s="28"/>
      <c r="W162" s="28"/>
      <c r="X162" s="28"/>
      <c r="Y162" s="28"/>
      <c r="Z162" s="28"/>
      <c r="AA162" s="28"/>
      <c r="AB162" s="28"/>
      <c r="AC162" s="28"/>
      <c r="AD162" s="28"/>
      <c r="AE162" s="28"/>
      <c r="AF162" s="28"/>
      <c r="AG162" s="28"/>
      <c r="AH162" s="28"/>
    </row>
    <row r="163" spans="2:34" ht="15.75" customHeight="1" x14ac:dyDescent="0.2">
      <c r="B163" s="1"/>
      <c r="C163" s="28"/>
      <c r="D163" s="28" t="str">
        <f>IF(AJ12=1,"Justification de l'intérêt cantonal selon OcEne art.15","")</f>
        <v/>
      </c>
      <c r="E163" s="28"/>
      <c r="F163" s="28"/>
      <c r="G163" s="28"/>
      <c r="H163" s="28"/>
      <c r="I163" s="28"/>
      <c r="J163" s="28"/>
      <c r="K163" s="28"/>
      <c r="L163" s="28"/>
      <c r="M163" s="28"/>
      <c r="N163" s="28"/>
      <c r="O163" s="28"/>
      <c r="P163" s="28"/>
      <c r="Q163" s="28"/>
      <c r="R163" s="70"/>
      <c r="S163" s="28"/>
      <c r="T163" s="28"/>
      <c r="U163" s="28"/>
      <c r="V163" s="28"/>
      <c r="W163" s="28"/>
      <c r="X163" s="28"/>
      <c r="Y163" s="28"/>
      <c r="Z163" s="28"/>
      <c r="AA163" s="28"/>
      <c r="AB163" s="28"/>
      <c r="AC163" s="28"/>
      <c r="AD163" s="28"/>
      <c r="AE163" s="28"/>
      <c r="AF163" s="28"/>
      <c r="AG163" s="28"/>
      <c r="AH163" s="28"/>
    </row>
    <row r="164" spans="2:34" ht="15.75" customHeight="1" x14ac:dyDescent="0.2">
      <c r="B164" s="28"/>
      <c r="C164" s="90"/>
      <c r="D164" s="90" t="str">
        <f>IF(AJ62=TRUE,"Justification énergie nécessaire au chauffage électrique selon OcEne art. 63 al. 2 (calculs, factures, etc.)","")</f>
        <v/>
      </c>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row>
    <row r="165" spans="2:34" ht="15.75" customHeight="1" x14ac:dyDescent="0.2">
      <c r="B165" s="28"/>
      <c r="C165" s="90"/>
      <c r="D165" s="90" t="str">
        <f>IF(AJ43=TRUE,"Certificat CECB draft, état après rénovation","")</f>
        <v/>
      </c>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row>
    <row r="166" spans="2:34" ht="15.75" customHeight="1" x14ac:dyDescent="0.2">
      <c r="B166" s="28"/>
      <c r="C166" s="90"/>
      <c r="D166" s="90" t="str">
        <f>IF(AJ31=TRUE,"Certificat Minergie et preuves de l'installation solaire existante (photos p.ex.), certificat CECB A/A ou Minergie A/P/Quartier","")</f>
        <v/>
      </c>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row>
    <row r="167" spans="2:34" ht="15.75" customHeight="1" x14ac:dyDescent="0.2">
      <c r="B167" s="28"/>
      <c r="C167" s="77"/>
      <c r="D167" s="77" t="str">
        <f>IF(AC83&gt;0,"Simulation de la quantité d’électricité nécessaire du bureau spécialisé","")</f>
        <v/>
      </c>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row>
    <row r="168" spans="2:34" ht="15.75" customHeight="1" x14ac:dyDescent="0.2">
      <c r="B168" s="28"/>
      <c r="C168" s="77"/>
      <c r="D168" s="77" t="str">
        <f>IF(AJ22=2,"Caractéristiques techniques de la production d'électricité et justificatif EN-VS-133","")</f>
        <v/>
      </c>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row>
    <row r="169" spans="2:34" ht="15.75" customHeight="1" x14ac:dyDescent="0.2">
      <c r="B169" s="28"/>
      <c r="C169" s="77"/>
      <c r="D169" s="77" t="str">
        <f>IF(AB156&lt;&gt;0,"Dossier complet de demande de participation financière selon OcEne art.59 al.2","")</f>
        <v/>
      </c>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row>
    <row r="170" spans="2:34" ht="15.75" customHeight="1" x14ac:dyDescent="0.2">
      <c r="B170" s="28"/>
      <c r="C170" s="77"/>
      <c r="D170" s="77" t="str">
        <f>IF(AJ64&lt;&gt;0,"Dossier justification des besoins électriques selon OcEne art.63","")</f>
        <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row>
    <row r="171" spans="2:34" ht="15.75" customHeight="1" x14ac:dyDescent="0.2">
      <c r="B171" s="28"/>
      <c r="C171" s="77"/>
      <c r="D171" s="77" t="str">
        <f>IF(OR(AJ71=1,AJ71=4),"Justificatif EN-VS-101b + EN-VS-110","")</f>
        <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row>
    <row r="172" spans="2:34" ht="15.75" customHeight="1" x14ac:dyDescent="0.2">
      <c r="B172" s="28"/>
      <c r="C172" s="77"/>
      <c r="D172" s="77" t="str">
        <f>IF(AJ71=5,"Justificatif EN-VS-101a + EN-VS-110","")</f>
        <v/>
      </c>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row>
    <row r="173" spans="2:34" ht="19.5" customHeight="1" x14ac:dyDescent="0.2">
      <c r="B173" s="28"/>
      <c r="C173" s="77"/>
      <c r="D173" s="77" t="str">
        <f>IF(AJ71=6,"Certificat provisoire Minergie-A/P/Quartier ou CECB A/A provisoire avec log-CECB","")</f>
        <v/>
      </c>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row>
    <row r="174" spans="2:34" ht="8.1" customHeight="1" thickBot="1" x14ac:dyDescent="0.25">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row>
    <row r="175" spans="2:34" ht="15.75" customHeight="1" x14ac:dyDescent="0.2">
      <c r="B175" s="523" t="s">
        <v>3</v>
      </c>
      <c r="C175" s="523"/>
      <c r="D175" s="523"/>
      <c r="E175" s="523"/>
      <c r="F175" s="523"/>
      <c r="G175" s="523"/>
      <c r="H175" s="523"/>
      <c r="I175" s="523"/>
      <c r="J175" s="523"/>
      <c r="K175" s="523"/>
      <c r="L175" s="523"/>
      <c r="M175" s="523"/>
      <c r="N175" s="523"/>
      <c r="O175" s="523"/>
      <c r="P175" s="523"/>
      <c r="Q175" s="523"/>
      <c r="R175" s="523"/>
      <c r="S175" s="523"/>
      <c r="T175" s="523"/>
      <c r="U175" s="523"/>
      <c r="V175" s="523"/>
      <c r="W175" s="523"/>
      <c r="X175" s="523"/>
      <c r="Y175" s="523"/>
      <c r="Z175" s="523"/>
      <c r="AA175" s="523"/>
      <c r="AB175" s="523"/>
      <c r="AC175" s="523"/>
      <c r="AD175" s="523"/>
      <c r="AE175" s="523"/>
      <c r="AF175" s="523"/>
      <c r="AG175" s="523"/>
      <c r="AH175" s="523"/>
    </row>
    <row r="176" spans="2:34" ht="9.75" customHeight="1" x14ac:dyDescent="0.2">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28"/>
      <c r="Y176" s="28"/>
      <c r="Z176" s="28"/>
      <c r="AA176" s="28"/>
      <c r="AB176" s="28"/>
      <c r="AC176" s="28"/>
      <c r="AD176" s="28"/>
      <c r="AE176" s="28"/>
      <c r="AF176" s="28"/>
      <c r="AG176" s="28"/>
      <c r="AH176" s="28"/>
    </row>
    <row r="177" spans="2:34" ht="15.75" customHeight="1" x14ac:dyDescent="0.2">
      <c r="B177" s="514"/>
      <c r="C177" s="515"/>
      <c r="D177" s="515"/>
      <c r="E177" s="515"/>
      <c r="F177" s="515"/>
      <c r="G177" s="515"/>
      <c r="H177" s="515"/>
      <c r="I177" s="515"/>
      <c r="J177" s="515"/>
      <c r="K177" s="515"/>
      <c r="L177" s="515"/>
      <c r="M177" s="515"/>
      <c r="N177" s="515"/>
      <c r="O177" s="515"/>
      <c r="P177" s="515"/>
      <c r="Q177" s="515"/>
      <c r="R177" s="515"/>
      <c r="S177" s="515"/>
      <c r="T177" s="515"/>
      <c r="U177" s="515"/>
      <c r="V177" s="515"/>
      <c r="W177" s="515"/>
      <c r="X177" s="515"/>
      <c r="Y177" s="515"/>
      <c r="Z177" s="515"/>
      <c r="AA177" s="515"/>
      <c r="AB177" s="515"/>
      <c r="AC177" s="515"/>
      <c r="AD177" s="515"/>
      <c r="AE177" s="515"/>
      <c r="AF177" s="515"/>
      <c r="AG177" s="516"/>
      <c r="AH177" s="28"/>
    </row>
    <row r="178" spans="2:34" ht="15.75" customHeight="1" x14ac:dyDescent="0.2">
      <c r="B178" s="517"/>
      <c r="C178" s="518"/>
      <c r="D178" s="518"/>
      <c r="E178" s="518"/>
      <c r="F178" s="518"/>
      <c r="G178" s="518"/>
      <c r="H178" s="518"/>
      <c r="I178" s="518"/>
      <c r="J178" s="518"/>
      <c r="K178" s="518"/>
      <c r="L178" s="518"/>
      <c r="M178" s="518"/>
      <c r="N178" s="518"/>
      <c r="O178" s="518"/>
      <c r="P178" s="518"/>
      <c r="Q178" s="518"/>
      <c r="R178" s="518"/>
      <c r="S178" s="518"/>
      <c r="T178" s="518"/>
      <c r="U178" s="518"/>
      <c r="V178" s="518"/>
      <c r="W178" s="518"/>
      <c r="X178" s="518"/>
      <c r="Y178" s="518"/>
      <c r="Z178" s="518"/>
      <c r="AA178" s="518"/>
      <c r="AB178" s="518"/>
      <c r="AC178" s="518"/>
      <c r="AD178" s="518"/>
      <c r="AE178" s="518"/>
      <c r="AF178" s="518"/>
      <c r="AG178" s="519"/>
      <c r="AH178" s="28"/>
    </row>
    <row r="179" spans="2:34" ht="15.75" customHeight="1" x14ac:dyDescent="0.2">
      <c r="B179" s="517"/>
      <c r="C179" s="518"/>
      <c r="D179" s="518"/>
      <c r="E179" s="518"/>
      <c r="F179" s="518"/>
      <c r="G179" s="518"/>
      <c r="H179" s="518"/>
      <c r="I179" s="518"/>
      <c r="J179" s="518"/>
      <c r="K179" s="518"/>
      <c r="L179" s="518"/>
      <c r="M179" s="518"/>
      <c r="N179" s="518"/>
      <c r="O179" s="518"/>
      <c r="P179" s="518"/>
      <c r="Q179" s="518"/>
      <c r="R179" s="518"/>
      <c r="S179" s="518"/>
      <c r="T179" s="518"/>
      <c r="U179" s="518"/>
      <c r="V179" s="518"/>
      <c r="W179" s="518"/>
      <c r="X179" s="518"/>
      <c r="Y179" s="518"/>
      <c r="Z179" s="518"/>
      <c r="AA179" s="518"/>
      <c r="AB179" s="518"/>
      <c r="AC179" s="518"/>
      <c r="AD179" s="518"/>
      <c r="AE179" s="518"/>
      <c r="AF179" s="518"/>
      <c r="AG179" s="519"/>
      <c r="AH179" s="28"/>
    </row>
    <row r="180" spans="2:34" ht="15.75" customHeight="1" x14ac:dyDescent="0.2">
      <c r="B180" s="517"/>
      <c r="C180" s="518"/>
      <c r="D180" s="518"/>
      <c r="E180" s="518"/>
      <c r="F180" s="518"/>
      <c r="G180" s="518"/>
      <c r="H180" s="518"/>
      <c r="I180" s="518"/>
      <c r="J180" s="518"/>
      <c r="K180" s="518"/>
      <c r="L180" s="518"/>
      <c r="M180" s="518"/>
      <c r="N180" s="518"/>
      <c r="O180" s="518"/>
      <c r="P180" s="518"/>
      <c r="Q180" s="518"/>
      <c r="R180" s="518"/>
      <c r="S180" s="518"/>
      <c r="T180" s="518"/>
      <c r="U180" s="518"/>
      <c r="V180" s="518"/>
      <c r="W180" s="518"/>
      <c r="X180" s="518"/>
      <c r="Y180" s="518"/>
      <c r="Z180" s="518"/>
      <c r="AA180" s="518"/>
      <c r="AB180" s="518"/>
      <c r="AC180" s="518"/>
      <c r="AD180" s="518"/>
      <c r="AE180" s="518"/>
      <c r="AF180" s="518"/>
      <c r="AG180" s="519"/>
      <c r="AH180" s="28"/>
    </row>
    <row r="181" spans="2:34" ht="15.75" customHeight="1" x14ac:dyDescent="0.2">
      <c r="B181" s="517"/>
      <c r="C181" s="518"/>
      <c r="D181" s="518"/>
      <c r="E181" s="518"/>
      <c r="F181" s="518"/>
      <c r="G181" s="518"/>
      <c r="H181" s="518"/>
      <c r="I181" s="518"/>
      <c r="J181" s="518"/>
      <c r="K181" s="518"/>
      <c r="L181" s="518"/>
      <c r="M181" s="518"/>
      <c r="N181" s="518"/>
      <c r="O181" s="518"/>
      <c r="P181" s="518"/>
      <c r="Q181" s="518"/>
      <c r="R181" s="518"/>
      <c r="S181" s="518"/>
      <c r="T181" s="518"/>
      <c r="U181" s="518"/>
      <c r="V181" s="518"/>
      <c r="W181" s="518"/>
      <c r="X181" s="518"/>
      <c r="Y181" s="518"/>
      <c r="Z181" s="518"/>
      <c r="AA181" s="518"/>
      <c r="AB181" s="518"/>
      <c r="AC181" s="518"/>
      <c r="AD181" s="518"/>
      <c r="AE181" s="518"/>
      <c r="AF181" s="518"/>
      <c r="AG181" s="519"/>
      <c r="AH181" s="28"/>
    </row>
    <row r="182" spans="2:34" ht="15.75" customHeight="1" x14ac:dyDescent="0.2">
      <c r="B182" s="520"/>
      <c r="C182" s="521"/>
      <c r="D182" s="521"/>
      <c r="E182" s="521"/>
      <c r="F182" s="521"/>
      <c r="G182" s="521"/>
      <c r="H182" s="521"/>
      <c r="I182" s="521"/>
      <c r="J182" s="521"/>
      <c r="K182" s="521"/>
      <c r="L182" s="521"/>
      <c r="M182" s="521"/>
      <c r="N182" s="521"/>
      <c r="O182" s="521"/>
      <c r="P182" s="521"/>
      <c r="Q182" s="521"/>
      <c r="R182" s="521"/>
      <c r="S182" s="521"/>
      <c r="T182" s="521"/>
      <c r="U182" s="521"/>
      <c r="V182" s="521"/>
      <c r="W182" s="521"/>
      <c r="X182" s="521"/>
      <c r="Y182" s="521"/>
      <c r="Z182" s="521"/>
      <c r="AA182" s="521"/>
      <c r="AB182" s="521"/>
      <c r="AC182" s="521"/>
      <c r="AD182" s="521"/>
      <c r="AE182" s="521"/>
      <c r="AF182" s="521"/>
      <c r="AG182" s="522"/>
      <c r="AH182" s="28"/>
    </row>
    <row r="183" spans="2:34" ht="8.1" customHeight="1" thickBot="1" x14ac:dyDescent="0.25">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row>
    <row r="184" spans="2:34" ht="8.1" customHeight="1" x14ac:dyDescent="0.2">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row>
    <row r="185" spans="2:34" ht="16.5" customHeight="1" x14ac:dyDescent="0.2">
      <c r="B185" s="523" t="s">
        <v>4</v>
      </c>
      <c r="C185" s="523"/>
      <c r="D185" s="523"/>
      <c r="E185" s="523"/>
      <c r="F185" s="523"/>
      <c r="G185" s="523"/>
      <c r="H185" s="524" t="s">
        <v>9</v>
      </c>
      <c r="I185" s="525"/>
      <c r="J185" s="525"/>
      <c r="K185" s="525"/>
      <c r="L185" s="525"/>
      <c r="M185" s="525"/>
      <c r="N185" s="525"/>
      <c r="O185" s="525"/>
      <c r="P185" s="525"/>
      <c r="Q185" s="525"/>
      <c r="R185" s="525"/>
      <c r="S185" s="525"/>
      <c r="T185" s="525"/>
      <c r="U185" s="816" t="s">
        <v>132</v>
      </c>
      <c r="V185" s="817"/>
      <c r="W185" s="817"/>
      <c r="X185" s="817"/>
      <c r="Y185" s="817"/>
      <c r="Z185" s="817"/>
      <c r="AA185" s="817"/>
      <c r="AB185" s="817"/>
      <c r="AC185" s="817"/>
      <c r="AD185" s="817"/>
      <c r="AE185" s="817"/>
      <c r="AF185" s="817"/>
      <c r="AG185" s="818"/>
      <c r="AH185" s="28"/>
    </row>
    <row r="186" spans="2:34" ht="18.75" customHeight="1" x14ac:dyDescent="0.2">
      <c r="B186" s="198"/>
      <c r="C186" s="198"/>
      <c r="D186" s="198"/>
      <c r="E186" s="198"/>
      <c r="F186" s="198"/>
      <c r="G186" s="198"/>
      <c r="H186" s="814"/>
      <c r="I186" s="815"/>
      <c r="J186" s="815"/>
      <c r="K186" s="815"/>
      <c r="L186" s="815"/>
      <c r="M186" s="815"/>
      <c r="N186" s="815"/>
      <c r="O186" s="815"/>
      <c r="P186" s="815"/>
      <c r="Q186" s="815"/>
      <c r="R186" s="815"/>
      <c r="S186" s="815"/>
      <c r="T186" s="815"/>
      <c r="U186" s="819"/>
      <c r="V186" s="820"/>
      <c r="W186" s="820"/>
      <c r="X186" s="820"/>
      <c r="Y186" s="820"/>
      <c r="Z186" s="820"/>
      <c r="AA186" s="820"/>
      <c r="AB186" s="820"/>
      <c r="AC186" s="820"/>
      <c r="AD186" s="820"/>
      <c r="AE186" s="820"/>
      <c r="AF186" s="820"/>
      <c r="AG186" s="821"/>
      <c r="AH186" s="28"/>
    </row>
    <row r="187" spans="2:34" ht="18.75" customHeight="1" x14ac:dyDescent="0.2">
      <c r="B187" s="17"/>
      <c r="C187" s="536" t="s">
        <v>7</v>
      </c>
      <c r="D187" s="536"/>
      <c r="E187" s="536"/>
      <c r="F187" s="536"/>
      <c r="G187" s="536"/>
      <c r="H187" s="543"/>
      <c r="I187" s="544"/>
      <c r="J187" s="544"/>
      <c r="K187" s="544"/>
      <c r="L187" s="544"/>
      <c r="M187" s="544"/>
      <c r="N187" s="544"/>
      <c r="O187" s="544"/>
      <c r="P187" s="544"/>
      <c r="Q187" s="544"/>
      <c r="R187" s="544"/>
      <c r="S187" s="544"/>
      <c r="T187" s="545"/>
      <c r="U187" s="546"/>
      <c r="V187" s="547"/>
      <c r="W187" s="547"/>
      <c r="X187" s="547"/>
      <c r="Y187" s="547"/>
      <c r="Z187" s="547"/>
      <c r="AA187" s="547"/>
      <c r="AB187" s="547"/>
      <c r="AC187" s="547"/>
      <c r="AD187" s="547"/>
      <c r="AE187" s="547"/>
      <c r="AF187" s="547"/>
      <c r="AG187" s="548"/>
      <c r="AH187" s="28"/>
    </row>
    <row r="188" spans="2:34" ht="18.75" customHeight="1" x14ac:dyDescent="0.2">
      <c r="B188" s="17"/>
      <c r="C188" s="536"/>
      <c r="D188" s="536"/>
      <c r="E188" s="536"/>
      <c r="F188" s="536"/>
      <c r="G188" s="536"/>
      <c r="H188" s="543"/>
      <c r="I188" s="544"/>
      <c r="J188" s="544"/>
      <c r="K188" s="544"/>
      <c r="L188" s="544"/>
      <c r="M188" s="544"/>
      <c r="N188" s="544"/>
      <c r="O188" s="544"/>
      <c r="P188" s="544"/>
      <c r="Q188" s="544"/>
      <c r="R188" s="544"/>
      <c r="S188" s="544"/>
      <c r="T188" s="545"/>
      <c r="U188" s="546"/>
      <c r="V188" s="547"/>
      <c r="W188" s="547"/>
      <c r="X188" s="547"/>
      <c r="Y188" s="547"/>
      <c r="Z188" s="547"/>
      <c r="AA188" s="547"/>
      <c r="AB188" s="547"/>
      <c r="AC188" s="547"/>
      <c r="AD188" s="547"/>
      <c r="AE188" s="547"/>
      <c r="AF188" s="547"/>
      <c r="AG188" s="548"/>
      <c r="AH188" s="28"/>
    </row>
    <row r="189" spans="2:34" ht="18.75" customHeight="1" x14ac:dyDescent="0.2">
      <c r="B189" s="19"/>
      <c r="C189" s="558" t="s">
        <v>5</v>
      </c>
      <c r="D189" s="558"/>
      <c r="E189" s="558"/>
      <c r="F189" s="558"/>
      <c r="G189" s="558"/>
      <c r="H189" s="543"/>
      <c r="I189" s="544"/>
      <c r="J189" s="544"/>
      <c r="K189" s="544"/>
      <c r="L189" s="544"/>
      <c r="M189" s="544"/>
      <c r="N189" s="544"/>
      <c r="O189" s="544"/>
      <c r="P189" s="544"/>
      <c r="Q189" s="544"/>
      <c r="R189" s="544"/>
      <c r="S189" s="544"/>
      <c r="T189" s="545"/>
      <c r="U189" s="559"/>
      <c r="V189" s="560"/>
      <c r="W189" s="560"/>
      <c r="X189" s="560"/>
      <c r="Y189" s="560"/>
      <c r="Z189" s="560"/>
      <c r="AA189" s="560"/>
      <c r="AB189" s="560"/>
      <c r="AC189" s="560"/>
      <c r="AD189" s="560"/>
      <c r="AE189" s="560"/>
      <c r="AF189" s="560"/>
      <c r="AG189" s="561"/>
      <c r="AH189" s="28"/>
    </row>
    <row r="190" spans="2:34" ht="18.75" customHeight="1" x14ac:dyDescent="0.2">
      <c r="B190" s="19"/>
      <c r="C190" s="558" t="s">
        <v>6</v>
      </c>
      <c r="D190" s="558"/>
      <c r="E190" s="558"/>
      <c r="F190" s="558"/>
      <c r="G190" s="558"/>
      <c r="H190" s="543"/>
      <c r="I190" s="544"/>
      <c r="J190" s="544"/>
      <c r="K190" s="544"/>
      <c r="L190" s="544"/>
      <c r="M190" s="544"/>
      <c r="N190" s="544"/>
      <c r="O190" s="544"/>
      <c r="P190" s="544"/>
      <c r="Q190" s="544"/>
      <c r="R190" s="544"/>
      <c r="S190" s="544"/>
      <c r="T190" s="545"/>
      <c r="U190" s="559"/>
      <c r="V190" s="560"/>
      <c r="W190" s="560"/>
      <c r="X190" s="560"/>
      <c r="Y190" s="560"/>
      <c r="Z190" s="560"/>
      <c r="AA190" s="560"/>
      <c r="AB190" s="560"/>
      <c r="AC190" s="560"/>
      <c r="AD190" s="560"/>
      <c r="AE190" s="560"/>
      <c r="AF190" s="560"/>
      <c r="AG190" s="561"/>
      <c r="AH190" s="28"/>
    </row>
    <row r="191" spans="2:34" ht="18.75" customHeight="1" x14ac:dyDescent="0.2">
      <c r="B191" s="17"/>
      <c r="C191" s="536" t="s">
        <v>8</v>
      </c>
      <c r="D191" s="536"/>
      <c r="E191" s="536"/>
      <c r="F191" s="536"/>
      <c r="G191" s="536"/>
      <c r="H191" s="543"/>
      <c r="I191" s="544"/>
      <c r="J191" s="544"/>
      <c r="K191" s="544"/>
      <c r="L191" s="544"/>
      <c r="M191" s="544"/>
      <c r="N191" s="544"/>
      <c r="O191" s="544"/>
      <c r="P191" s="544"/>
      <c r="Q191" s="544"/>
      <c r="R191" s="544"/>
      <c r="S191" s="544"/>
      <c r="T191" s="545"/>
      <c r="U191" s="549"/>
      <c r="V191" s="550"/>
      <c r="W191" s="550"/>
      <c r="X191" s="550"/>
      <c r="Y191" s="550"/>
      <c r="Z191" s="550"/>
      <c r="AA191" s="550"/>
      <c r="AB191" s="550"/>
      <c r="AC191" s="550"/>
      <c r="AD191" s="550"/>
      <c r="AE191" s="550"/>
      <c r="AF191" s="550"/>
      <c r="AG191" s="551"/>
      <c r="AH191" s="28"/>
    </row>
    <row r="192" spans="2:34" ht="18.75" customHeight="1" x14ac:dyDescent="0.2">
      <c r="B192" s="17"/>
      <c r="C192" s="536"/>
      <c r="D192" s="536"/>
      <c r="E192" s="536"/>
      <c r="F192" s="536"/>
      <c r="G192" s="536"/>
      <c r="H192" s="552"/>
      <c r="I192" s="553"/>
      <c r="J192" s="553"/>
      <c r="K192" s="553"/>
      <c r="L192" s="553"/>
      <c r="M192" s="553"/>
      <c r="N192" s="553"/>
      <c r="O192" s="553"/>
      <c r="P192" s="553"/>
      <c r="Q192" s="553"/>
      <c r="R192" s="553"/>
      <c r="S192" s="553"/>
      <c r="T192" s="554"/>
      <c r="U192" s="555"/>
      <c r="V192" s="556"/>
      <c r="W192" s="556"/>
      <c r="X192" s="556"/>
      <c r="Y192" s="556"/>
      <c r="Z192" s="556"/>
      <c r="AA192" s="556"/>
      <c r="AB192" s="556"/>
      <c r="AC192" s="556"/>
      <c r="AD192" s="556"/>
      <c r="AE192" s="556"/>
      <c r="AF192" s="556"/>
      <c r="AG192" s="557"/>
      <c r="AH192" s="28"/>
    </row>
    <row r="193" spans="2:35" ht="16.5" customHeight="1" x14ac:dyDescent="0.2">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row>
    <row r="194" spans="2:35" ht="16.5" hidden="1" customHeight="1" x14ac:dyDescent="0.2">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4"/>
    </row>
    <row r="195" spans="2:35" ht="16.5" hidden="1" customHeight="1" x14ac:dyDescent="0.2">
      <c r="B195" s="53"/>
      <c r="C195" s="53"/>
      <c r="D195" s="53"/>
      <c r="E195" s="53"/>
      <c r="F195" s="53"/>
      <c r="G195" s="53"/>
      <c r="H195" s="53"/>
      <c r="I195" s="53"/>
      <c r="J195" s="53"/>
      <c r="K195" s="53"/>
      <c r="L195" s="53"/>
      <c r="M195" s="53"/>
      <c r="N195" s="53"/>
      <c r="O195" s="53"/>
      <c r="P195" s="53"/>
      <c r="Q195" s="53"/>
      <c r="R195" s="53"/>
      <c r="S195" s="53"/>
      <c r="T195" s="53"/>
      <c r="U195" s="53"/>
      <c r="V195" s="53"/>
      <c r="X195" s="53"/>
      <c r="Y195" s="53"/>
      <c r="Z195" s="53"/>
      <c r="AA195" s="53"/>
      <c r="AB195" s="53"/>
      <c r="AC195" s="53"/>
      <c r="AD195" s="53"/>
      <c r="AE195" s="53"/>
      <c r="AF195" s="53"/>
      <c r="AG195" s="53"/>
      <c r="AH195" s="53"/>
      <c r="AI195" s="54"/>
    </row>
    <row r="196" spans="2:35" ht="16.5" hidden="1" customHeight="1" x14ac:dyDescent="0.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4"/>
    </row>
    <row r="197" spans="2:35" ht="16.5" hidden="1" customHeight="1" x14ac:dyDescent="0.2">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4"/>
    </row>
    <row r="198" spans="2:35" ht="16.5" hidden="1" customHeight="1" x14ac:dyDescent="0.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4"/>
    </row>
    <row r="199" spans="2:35" ht="16.5" hidden="1" customHeight="1" x14ac:dyDescent="0.2">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4"/>
    </row>
    <row r="200" spans="2:35" ht="16.5" hidden="1" customHeight="1" x14ac:dyDescent="0.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4"/>
    </row>
    <row r="201" spans="2:35" ht="16.5" hidden="1" customHeight="1" x14ac:dyDescent="0.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4"/>
    </row>
    <row r="202" spans="2:35" ht="16.5" hidden="1" customHeight="1" x14ac:dyDescent="0.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4"/>
    </row>
    <row r="203" spans="2:35" ht="16.5" hidden="1" customHeight="1" x14ac:dyDescent="0.2">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4"/>
    </row>
    <row r="204" spans="2:35" ht="16.5" hidden="1" customHeight="1" x14ac:dyDescent="0.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4"/>
    </row>
    <row r="205" spans="2:35" ht="16.5" hidden="1" customHeight="1" x14ac:dyDescent="0.2">
      <c r="B205" s="53"/>
      <c r="C205" s="53"/>
      <c r="D205" s="53"/>
      <c r="E205" s="53"/>
      <c r="F205" s="53"/>
      <c r="G205" s="53"/>
      <c r="H205" s="53"/>
      <c r="I205" s="53"/>
      <c r="J205" s="53"/>
      <c r="K205" s="53"/>
      <c r="L205" s="53"/>
      <c r="M205" s="53"/>
      <c r="N205" s="53"/>
      <c r="O205" s="53"/>
      <c r="P205" s="53"/>
      <c r="Q205" s="53"/>
      <c r="R205" s="53"/>
      <c r="S205" s="53"/>
      <c r="T205" s="53"/>
      <c r="U205" s="53"/>
      <c r="V205" s="53"/>
      <c r="X205" s="53"/>
      <c r="Y205" s="53"/>
      <c r="Z205" s="53"/>
      <c r="AA205" s="53"/>
      <c r="AB205" s="53"/>
      <c r="AC205" s="53"/>
      <c r="AD205" s="53"/>
      <c r="AE205" s="53"/>
      <c r="AF205" s="53"/>
      <c r="AG205" s="53"/>
      <c r="AH205" s="53"/>
      <c r="AI205" s="54"/>
    </row>
    <row r="206" spans="2:35" ht="16.5" hidden="1" customHeight="1" x14ac:dyDescent="0.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4"/>
    </row>
    <row r="207" spans="2:35" ht="16.5" hidden="1" customHeight="1" x14ac:dyDescent="0.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4"/>
    </row>
    <row r="208" spans="2:35" ht="16.5" hidden="1" customHeight="1" x14ac:dyDescent="0.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4"/>
    </row>
    <row r="209" spans="2:35" ht="16.5" hidden="1" customHeight="1" x14ac:dyDescent="0.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4"/>
    </row>
    <row r="210" spans="2:35" ht="16.5" hidden="1" customHeight="1" x14ac:dyDescent="0.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4"/>
    </row>
    <row r="211" spans="2:35" ht="16.5" hidden="1" customHeight="1" x14ac:dyDescent="0.2">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4"/>
    </row>
    <row r="212" spans="2:35" ht="16.5" hidden="1" customHeight="1" x14ac:dyDescent="0.2">
      <c r="B212" s="53"/>
      <c r="C212" s="53"/>
      <c r="D212" s="53"/>
      <c r="E212" s="53"/>
      <c r="F212" s="53"/>
      <c r="G212" s="53"/>
      <c r="H212" s="53"/>
      <c r="I212" s="53"/>
      <c r="J212" s="53"/>
      <c r="K212" s="53"/>
      <c r="L212" s="53"/>
      <c r="M212" s="53"/>
      <c r="N212" s="53"/>
      <c r="O212" s="53"/>
      <c r="P212" s="53"/>
      <c r="Q212" s="53"/>
      <c r="R212" s="53"/>
      <c r="S212" s="53"/>
      <c r="T212" s="53"/>
      <c r="U212" s="53"/>
      <c r="V212" s="53"/>
      <c r="W212" s="66"/>
      <c r="X212" s="53"/>
      <c r="Y212" s="53"/>
      <c r="Z212" s="53"/>
      <c r="AA212" s="53"/>
      <c r="AB212" s="53"/>
      <c r="AC212" s="53"/>
      <c r="AD212" s="53"/>
      <c r="AE212" s="53"/>
      <c r="AF212" s="53"/>
      <c r="AG212" s="53"/>
      <c r="AH212" s="53"/>
      <c r="AI212" s="54"/>
    </row>
    <row r="213" spans="2:35" ht="16.5" hidden="1" customHeight="1" x14ac:dyDescent="0.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4"/>
    </row>
    <row r="214" spans="2:35" ht="16.5" hidden="1" customHeight="1" x14ac:dyDescent="0.2">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4"/>
    </row>
    <row r="215" spans="2:35" ht="16.5" hidden="1" customHeight="1" x14ac:dyDescent="0.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4"/>
    </row>
    <row r="216" spans="2:35" ht="16.5" hidden="1" customHeight="1" x14ac:dyDescent="0.2">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4"/>
    </row>
    <row r="217" spans="2:35" ht="16.5" hidden="1" customHeight="1" x14ac:dyDescent="0.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4"/>
    </row>
    <row r="218" spans="2:35" ht="16.5" hidden="1" customHeight="1" x14ac:dyDescent="0.2">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4"/>
    </row>
    <row r="219" spans="2:35" ht="16.5" hidden="1" customHeight="1" x14ac:dyDescent="0.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4"/>
    </row>
    <row r="220" spans="2:35" ht="16.5" hidden="1" customHeight="1" x14ac:dyDescent="0.2">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4"/>
    </row>
    <row r="221" spans="2:35" ht="16.5" hidden="1" customHeight="1" x14ac:dyDescent="0.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4"/>
    </row>
    <row r="222" spans="2:35" ht="16.5" hidden="1" customHeight="1" x14ac:dyDescent="0.2">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4"/>
    </row>
    <row r="223" spans="2:35" ht="16.5" hidden="1" customHeight="1" x14ac:dyDescent="0.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4"/>
    </row>
    <row r="224" spans="2:35" ht="16.5" hidden="1" customHeight="1" x14ac:dyDescent="0.2">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4"/>
    </row>
    <row r="225" spans="2:35" ht="16.5" hidden="1" customHeight="1" x14ac:dyDescent="0.2">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4"/>
    </row>
  </sheetData>
  <mergeCells count="123">
    <mergeCell ref="C191:G192"/>
    <mergeCell ref="H191:T191"/>
    <mergeCell ref="U191:AG191"/>
    <mergeCell ref="H192:T192"/>
    <mergeCell ref="U192:AG192"/>
    <mergeCell ref="C189:G189"/>
    <mergeCell ref="H189:T189"/>
    <mergeCell ref="U189:AG189"/>
    <mergeCell ref="C190:G190"/>
    <mergeCell ref="H190:T190"/>
    <mergeCell ref="U190:AG190"/>
    <mergeCell ref="B177:AG182"/>
    <mergeCell ref="B185:G185"/>
    <mergeCell ref="H185:T186"/>
    <mergeCell ref="U185:AG186"/>
    <mergeCell ref="C187:G188"/>
    <mergeCell ref="H187:T187"/>
    <mergeCell ref="U187:AG187"/>
    <mergeCell ref="H188:T188"/>
    <mergeCell ref="U188:AG188"/>
    <mergeCell ref="B146:AG148"/>
    <mergeCell ref="B150:AG152"/>
    <mergeCell ref="AB154:AG154"/>
    <mergeCell ref="AB155:AG155"/>
    <mergeCell ref="AB156:AG156"/>
    <mergeCell ref="B175:AH175"/>
    <mergeCell ref="AB134:AG134"/>
    <mergeCell ref="AB137:AG137"/>
    <mergeCell ref="AB138:AG138"/>
    <mergeCell ref="I139:Z139"/>
    <mergeCell ref="AB139:AG139"/>
    <mergeCell ref="AB143:AG143"/>
    <mergeCell ref="B133:F133"/>
    <mergeCell ref="G133:I133"/>
    <mergeCell ref="J133:N133"/>
    <mergeCell ref="O133:S133"/>
    <mergeCell ref="T133:Z133"/>
    <mergeCell ref="AB133:AG133"/>
    <mergeCell ref="B132:F132"/>
    <mergeCell ref="G132:I132"/>
    <mergeCell ref="J132:N132"/>
    <mergeCell ref="O132:S132"/>
    <mergeCell ref="T132:Z132"/>
    <mergeCell ref="AB132:AG132"/>
    <mergeCell ref="B131:F131"/>
    <mergeCell ref="G131:I131"/>
    <mergeCell ref="J131:N131"/>
    <mergeCell ref="O131:S131"/>
    <mergeCell ref="T131:Z131"/>
    <mergeCell ref="AB131:AG131"/>
    <mergeCell ref="AB128:AG129"/>
    <mergeCell ref="B130:F130"/>
    <mergeCell ref="G130:I130"/>
    <mergeCell ref="J130:N130"/>
    <mergeCell ref="O130:S130"/>
    <mergeCell ref="T130:Z130"/>
    <mergeCell ref="AB130:AG130"/>
    <mergeCell ref="B125:Y125"/>
    <mergeCell ref="B128:F129"/>
    <mergeCell ref="G128:I129"/>
    <mergeCell ref="J128:N129"/>
    <mergeCell ref="O128:S129"/>
    <mergeCell ref="T128:Z129"/>
    <mergeCell ref="AC114:AE114"/>
    <mergeCell ref="AC115:AE115"/>
    <mergeCell ref="AC116:AE116"/>
    <mergeCell ref="AC117:AE117"/>
    <mergeCell ref="AC118:AE118"/>
    <mergeCell ref="AC120:AE120"/>
    <mergeCell ref="M96:N96"/>
    <mergeCell ref="M97:N97"/>
    <mergeCell ref="M105:O105"/>
    <mergeCell ref="M106:O106"/>
    <mergeCell ref="AC108:AE108"/>
    <mergeCell ref="AF108:AG108"/>
    <mergeCell ref="AC85:AE85"/>
    <mergeCell ref="AF85:AG85"/>
    <mergeCell ref="N87:AH87"/>
    <mergeCell ref="N92:P92"/>
    <mergeCell ref="M94:N94"/>
    <mergeCell ref="M95:N95"/>
    <mergeCell ref="M79:N79"/>
    <mergeCell ref="P80:Q80"/>
    <mergeCell ref="C82:N83"/>
    <mergeCell ref="AC82:AE82"/>
    <mergeCell ref="AF82:AG82"/>
    <mergeCell ref="AC83:AE83"/>
    <mergeCell ref="AF83:AG83"/>
    <mergeCell ref="AC60:AE60"/>
    <mergeCell ref="AF60:AG60"/>
    <mergeCell ref="AC64:AE64"/>
    <mergeCell ref="AF64:AG64"/>
    <mergeCell ref="D71:Y71"/>
    <mergeCell ref="M78:N78"/>
    <mergeCell ref="AC48:AE48"/>
    <mergeCell ref="AF48:AG48"/>
    <mergeCell ref="AC49:AE49"/>
    <mergeCell ref="AF49:AG49"/>
    <mergeCell ref="H55:J55"/>
    <mergeCell ref="AC59:AE59"/>
    <mergeCell ref="AF59:AG59"/>
    <mergeCell ref="E33:Q34"/>
    <mergeCell ref="AC33:AE33"/>
    <mergeCell ref="AF33:AG33"/>
    <mergeCell ref="AC34:AE34"/>
    <mergeCell ref="AF34:AG34"/>
    <mergeCell ref="H40:J40"/>
    <mergeCell ref="B9:D9"/>
    <mergeCell ref="F9:Z9"/>
    <mergeCell ref="AE9:AH9"/>
    <mergeCell ref="H29:J29"/>
    <mergeCell ref="Q29:S29"/>
    <mergeCell ref="T29:U29"/>
    <mergeCell ref="X29:Y29"/>
    <mergeCell ref="B2:F5"/>
    <mergeCell ref="G2:O5"/>
    <mergeCell ref="P2:Y5"/>
    <mergeCell ref="Z2:AH5"/>
    <mergeCell ref="B7:E7"/>
    <mergeCell ref="F7:P7"/>
    <mergeCell ref="Q7:T7"/>
    <mergeCell ref="U7:Z7"/>
    <mergeCell ref="AE7:AH7"/>
  </mergeCells>
  <conditionalFormatting sqref="A67:AI110">
    <cfRule type="expression" dxfId="74" priority="2">
      <formula>$AL$17=FALSE</formula>
    </cfRule>
  </conditionalFormatting>
  <conditionalFormatting sqref="B52">
    <cfRule type="expression" dxfId="73" priority="15">
      <formula>$AK$17=FALSE</formula>
    </cfRule>
  </conditionalFormatting>
  <conditionalFormatting sqref="B146">
    <cfRule type="expression" dxfId="72" priority="34">
      <formula>$AJ$145&lt;0</formula>
    </cfRule>
  </conditionalFormatting>
  <conditionalFormatting sqref="B36:AH47 AC48:AH49 B48:AA49 B50:AH50">
    <cfRule type="expression" dxfId="71" priority="18">
      <formula>$AK$17=FALSE</formula>
    </cfRule>
  </conditionalFormatting>
  <conditionalFormatting sqref="B53:AH58">
    <cfRule type="expression" dxfId="70" priority="1">
      <formula>$AK$19=FALSE</formula>
    </cfRule>
  </conditionalFormatting>
  <conditionalFormatting sqref="C49">
    <cfRule type="cellIs" dxfId="69" priority="32" operator="equal">
      <formula>"Projet non-soumis à l'art.43 LcEne"</formula>
    </cfRule>
  </conditionalFormatting>
  <conditionalFormatting sqref="M97:N97">
    <cfRule type="cellIs" dxfId="68" priority="6" operator="equal">
      <formula>0</formula>
    </cfRule>
  </conditionalFormatting>
  <conditionalFormatting sqref="O86 AC85:AE85">
    <cfRule type="expression" dxfId="67" priority="13">
      <formula>"ou($AC$82&lt;&gt;0;$AC$83&lt;&gt;0)"</formula>
    </cfRule>
  </conditionalFormatting>
  <conditionalFormatting sqref="O86 AD86:AG86">
    <cfRule type="cellIs" dxfId="66" priority="11" operator="equal">
      <formula>"Production saisonnière couverte"</formula>
    </cfRule>
    <cfRule type="cellIs" dxfId="65" priority="12" operator="equal">
      <formula>"La production saisonnière n'est pas couverte"</formula>
    </cfRule>
  </conditionalFormatting>
  <conditionalFormatting sqref="O130:S130">
    <cfRule type="cellIs" dxfId="64" priority="7" operator="equal">
      <formula>0</formula>
    </cfRule>
  </conditionalFormatting>
  <conditionalFormatting sqref="AB154:AG156">
    <cfRule type="expression" dxfId="63" priority="14">
      <formula>$AJ$154=FALSE</formula>
    </cfRule>
  </conditionalFormatting>
  <conditionalFormatting sqref="AC38">
    <cfRule type="expression" dxfId="62" priority="17">
      <formula>$AK$17=FALSE</formula>
    </cfRule>
    <cfRule type="cellIs" dxfId="61" priority="28" operator="equal">
      <formula>"Projet exempté"</formula>
    </cfRule>
    <cfRule type="cellIs" dxfId="60" priority="29" operator="equal">
      <formula>"Projet soumis"</formula>
    </cfRule>
  </conditionalFormatting>
  <conditionalFormatting sqref="AC69">
    <cfRule type="cellIs" dxfId="59" priority="26" operator="equal">
      <formula>"Projet exempté"</formula>
    </cfRule>
    <cfRule type="cellIs" dxfId="58" priority="27" operator="equal">
      <formula>"Projet soumis"</formula>
    </cfRule>
  </conditionalFormatting>
  <conditionalFormatting sqref="AC33:AE33 AC48:AE48 AC59:AE59">
    <cfRule type="cellIs" dxfId="57" priority="8" operator="equal">
      <formula>0</formula>
    </cfRule>
  </conditionalFormatting>
  <conditionalFormatting sqref="AC82:AE82 AC34:AE34 AC49:AE49 AC60:AE60 AC120:AE120">
    <cfRule type="cellIs" dxfId="56" priority="10" operator="equal">
      <formula>0</formula>
    </cfRule>
  </conditionalFormatting>
  <conditionalFormatting sqref="AC114:AE118">
    <cfRule type="cellIs" dxfId="55" priority="9" operator="equal">
      <formula>0</formula>
    </cfRule>
  </conditionalFormatting>
  <conditionalFormatting sqref="AC33:AH34 B25:AH32 B33:AA34">
    <cfRule type="expression" dxfId="54" priority="19">
      <formula>$AJ$17=FALSE</formula>
    </cfRule>
  </conditionalFormatting>
  <conditionalFormatting sqref="AC59:AH60 B51:AH51 C52:AH52 B59:AA60 B61:AH63 B64:Q64 S64:AA64 AC64:AH64 B65:AH66">
    <cfRule type="expression" dxfId="53" priority="16">
      <formula>$AK$19=FALSE</formula>
    </cfRule>
  </conditionalFormatting>
  <conditionalFormatting sqref="AD22:AE23 AG22:AG23">
    <cfRule type="cellIs" dxfId="52" priority="30" operator="equal">
      <formula>"à renseigner"</formula>
    </cfRule>
  </conditionalFormatting>
  <conditionalFormatting sqref="AD12:AH12">
    <cfRule type="cellIs" dxfId="51" priority="31" operator="equal">
      <formula>"à renseigner"</formula>
    </cfRule>
  </conditionalFormatting>
  <conditionalFormatting sqref="AD38:AH42">
    <cfRule type="cellIs" dxfId="50" priority="33" operator="equal">
      <formula>"à renseigner"</formula>
    </cfRule>
  </conditionalFormatting>
  <conditionalFormatting sqref="AE37">
    <cfRule type="cellIs" dxfId="49" priority="24" operator="equal">
      <formula>"à renseigner"</formula>
    </cfRule>
  </conditionalFormatting>
  <conditionalFormatting sqref="AE68:AH68">
    <cfRule type="cellIs" dxfId="48" priority="23" operator="equal">
      <formula>"à renseigner"</formula>
    </cfRule>
  </conditionalFormatting>
  <conditionalFormatting sqref="AF37">
    <cfRule type="expression" dxfId="47" priority="20">
      <formula>$AE$26="pas concerné"</formula>
    </cfRule>
    <cfRule type="cellIs" dxfId="46" priority="21" operator="equal">
      <formula>"pas concerné"</formula>
    </cfRule>
  </conditionalFormatting>
  <conditionalFormatting sqref="AF37:AG37">
    <cfRule type="cellIs" dxfId="45" priority="22" operator="equal">
      <formula>"à renseigner"</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locked="0" defaultSize="0" autoFill="0" autoLine="0" autoPict="0">
                <anchor moveWithCells="1">
                  <from>
                    <xdr:col>1</xdr:col>
                    <xdr:colOff>180975</xdr:colOff>
                    <xdr:row>15</xdr:row>
                    <xdr:rowOff>104775</xdr:rowOff>
                  </from>
                  <to>
                    <xdr:col>3</xdr:col>
                    <xdr:colOff>0</xdr:colOff>
                    <xdr:row>16</xdr:row>
                    <xdr:rowOff>142875</xdr:rowOff>
                  </to>
                </anchor>
              </controlPr>
            </control>
          </mc:Choice>
        </mc:AlternateContent>
        <mc:AlternateContent xmlns:mc="http://schemas.openxmlformats.org/markup-compatibility/2006">
          <mc:Choice Requires="x14">
            <control shapeId="8194" r:id="rId4" name="Check Box 2">
              <controlPr locked="0" defaultSize="0" autoFill="0" autoLine="0" autoPict="0">
                <anchor moveWithCells="1">
                  <from>
                    <xdr:col>14</xdr:col>
                    <xdr:colOff>180975</xdr:colOff>
                    <xdr:row>16</xdr:row>
                    <xdr:rowOff>28575</xdr:rowOff>
                  </from>
                  <to>
                    <xdr:col>15</xdr:col>
                    <xdr:colOff>180975</xdr:colOff>
                    <xdr:row>18</xdr:row>
                    <xdr:rowOff>0</xdr:rowOff>
                  </to>
                </anchor>
              </controlPr>
            </control>
          </mc:Choice>
        </mc:AlternateContent>
        <mc:AlternateContent xmlns:mc="http://schemas.openxmlformats.org/markup-compatibility/2006">
          <mc:Choice Requires="x14">
            <control shapeId="8195" r:id="rId5" name="Check Box 3">
              <controlPr locked="0" defaultSize="0" autoFill="0" autoLine="0" autoPict="0">
                <anchor moveWithCells="1">
                  <from>
                    <xdr:col>25</xdr:col>
                    <xdr:colOff>219075</xdr:colOff>
                    <xdr:row>15</xdr:row>
                    <xdr:rowOff>104775</xdr:rowOff>
                  </from>
                  <to>
                    <xdr:col>26</xdr:col>
                    <xdr:colOff>180975</xdr:colOff>
                    <xdr:row>16</xdr:row>
                    <xdr:rowOff>180975</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2</xdr:col>
                    <xdr:colOff>104775</xdr:colOff>
                    <xdr:row>41</xdr:row>
                    <xdr:rowOff>66675</xdr:rowOff>
                  </from>
                  <to>
                    <xdr:col>3</xdr:col>
                    <xdr:colOff>142875</xdr:colOff>
                    <xdr:row>43</xdr:row>
                    <xdr:rowOff>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2</xdr:col>
                    <xdr:colOff>104775</xdr:colOff>
                    <xdr:row>42</xdr:row>
                    <xdr:rowOff>180975</xdr:rowOff>
                  </from>
                  <to>
                    <xdr:col>3</xdr:col>
                    <xdr:colOff>142875</xdr:colOff>
                    <xdr:row>44</xdr:row>
                    <xdr:rowOff>142875</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2</xdr:col>
                    <xdr:colOff>104775</xdr:colOff>
                    <xdr:row>43</xdr:row>
                    <xdr:rowOff>180975</xdr:rowOff>
                  </from>
                  <to>
                    <xdr:col>3</xdr:col>
                    <xdr:colOff>142875</xdr:colOff>
                    <xdr:row>45</xdr:row>
                    <xdr:rowOff>114300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2</xdr:col>
                    <xdr:colOff>104775</xdr:colOff>
                    <xdr:row>44</xdr:row>
                    <xdr:rowOff>190500</xdr:rowOff>
                  </from>
                  <to>
                    <xdr:col>3</xdr:col>
                    <xdr:colOff>142875</xdr:colOff>
                    <xdr:row>47</xdr:row>
                    <xdr:rowOff>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25</xdr:col>
                    <xdr:colOff>180975</xdr:colOff>
                    <xdr:row>76</xdr:row>
                    <xdr:rowOff>142875</xdr:rowOff>
                  </from>
                  <to>
                    <xdr:col>26</xdr:col>
                    <xdr:colOff>142875</xdr:colOff>
                    <xdr:row>78</xdr:row>
                    <xdr:rowOff>104775</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25</xdr:col>
                    <xdr:colOff>180975</xdr:colOff>
                    <xdr:row>77</xdr:row>
                    <xdr:rowOff>180975</xdr:rowOff>
                  </from>
                  <to>
                    <xdr:col>26</xdr:col>
                    <xdr:colOff>142875</xdr:colOff>
                    <xdr:row>79</xdr:row>
                    <xdr:rowOff>142875</xdr:rowOff>
                  </to>
                </anchor>
              </controlPr>
            </control>
          </mc:Choice>
        </mc:AlternateContent>
        <mc:AlternateContent xmlns:mc="http://schemas.openxmlformats.org/markup-compatibility/2006">
          <mc:Choice Requires="x14">
            <control shapeId="8202" r:id="rId12" name="Check Box 10">
              <controlPr locked="0" defaultSize="0" autoFill="0" autoLine="0" autoPict="0">
                <anchor moveWithCells="1">
                  <from>
                    <xdr:col>18</xdr:col>
                    <xdr:colOff>219075</xdr:colOff>
                    <xdr:row>90</xdr:row>
                    <xdr:rowOff>66675</xdr:rowOff>
                  </from>
                  <to>
                    <xdr:col>19</xdr:col>
                    <xdr:colOff>190500</xdr:colOff>
                    <xdr:row>92</xdr:row>
                    <xdr:rowOff>28575</xdr:rowOff>
                  </to>
                </anchor>
              </controlPr>
            </control>
          </mc:Choice>
        </mc:AlternateContent>
        <mc:AlternateContent xmlns:mc="http://schemas.openxmlformats.org/markup-compatibility/2006">
          <mc:Choice Requires="x14">
            <control shapeId="8203" r:id="rId13" name="Check Box 11">
              <controlPr locked="0" defaultSize="0" autoFill="0" autoLine="0" autoPict="0">
                <anchor moveWithCells="1">
                  <from>
                    <xdr:col>1</xdr:col>
                    <xdr:colOff>28575</xdr:colOff>
                    <xdr:row>164</xdr:row>
                    <xdr:rowOff>0</xdr:rowOff>
                  </from>
                  <to>
                    <xdr:col>2</xdr:col>
                    <xdr:colOff>66675</xdr:colOff>
                    <xdr:row>165</xdr:row>
                    <xdr:rowOff>66675</xdr:rowOff>
                  </to>
                </anchor>
              </controlPr>
            </control>
          </mc:Choice>
        </mc:AlternateContent>
        <mc:AlternateContent xmlns:mc="http://schemas.openxmlformats.org/markup-compatibility/2006">
          <mc:Choice Requires="x14">
            <control shapeId="8204" r:id="rId14" name="Check Box 12">
              <controlPr locked="0" defaultSize="0" autoFill="0" autoLine="0" autoPict="0">
                <anchor moveWithCells="1">
                  <from>
                    <xdr:col>1</xdr:col>
                    <xdr:colOff>28575</xdr:colOff>
                    <xdr:row>165</xdr:row>
                    <xdr:rowOff>0</xdr:rowOff>
                  </from>
                  <to>
                    <xdr:col>2</xdr:col>
                    <xdr:colOff>66675</xdr:colOff>
                    <xdr:row>166</xdr:row>
                    <xdr:rowOff>66675</xdr:rowOff>
                  </to>
                </anchor>
              </controlPr>
            </control>
          </mc:Choice>
        </mc:AlternateContent>
        <mc:AlternateContent xmlns:mc="http://schemas.openxmlformats.org/markup-compatibility/2006">
          <mc:Choice Requires="x14">
            <control shapeId="8205" r:id="rId15" name="Check Box 13">
              <controlPr locked="0" defaultSize="0" autoFill="0" autoLine="0" autoPict="0">
                <anchor moveWithCells="1">
                  <from>
                    <xdr:col>1</xdr:col>
                    <xdr:colOff>28575</xdr:colOff>
                    <xdr:row>166</xdr:row>
                    <xdr:rowOff>0</xdr:rowOff>
                  </from>
                  <to>
                    <xdr:col>2</xdr:col>
                    <xdr:colOff>66675</xdr:colOff>
                    <xdr:row>167</xdr:row>
                    <xdr:rowOff>66675</xdr:rowOff>
                  </to>
                </anchor>
              </controlPr>
            </control>
          </mc:Choice>
        </mc:AlternateContent>
        <mc:AlternateContent xmlns:mc="http://schemas.openxmlformats.org/markup-compatibility/2006">
          <mc:Choice Requires="x14">
            <control shapeId="8206" r:id="rId16" name="Check Box 14">
              <controlPr locked="0" defaultSize="0" autoFill="0" autoLine="0" autoPict="0">
                <anchor moveWithCells="1">
                  <from>
                    <xdr:col>14</xdr:col>
                    <xdr:colOff>180975</xdr:colOff>
                    <xdr:row>17</xdr:row>
                    <xdr:rowOff>66675</xdr:rowOff>
                  </from>
                  <to>
                    <xdr:col>15</xdr:col>
                    <xdr:colOff>180975</xdr:colOff>
                    <xdr:row>18</xdr:row>
                    <xdr:rowOff>114300</xdr:rowOff>
                  </to>
                </anchor>
              </controlPr>
            </control>
          </mc:Choice>
        </mc:AlternateContent>
        <mc:AlternateContent xmlns:mc="http://schemas.openxmlformats.org/markup-compatibility/2006">
          <mc:Choice Requires="x14">
            <control shapeId="8207" r:id="rId17" name="Check Box 15">
              <controlPr locked="0" defaultSize="0" autoFill="0" autoLine="0" autoPict="0">
                <anchor moveWithCells="1">
                  <from>
                    <xdr:col>2</xdr:col>
                    <xdr:colOff>142875</xdr:colOff>
                    <xdr:row>55</xdr:row>
                    <xdr:rowOff>66675</xdr:rowOff>
                  </from>
                  <to>
                    <xdr:col>3</xdr:col>
                    <xdr:colOff>152400</xdr:colOff>
                    <xdr:row>57</xdr:row>
                    <xdr:rowOff>0</xdr:rowOff>
                  </to>
                </anchor>
              </controlPr>
            </control>
          </mc:Choice>
        </mc:AlternateContent>
        <mc:AlternateContent xmlns:mc="http://schemas.openxmlformats.org/markup-compatibility/2006">
          <mc:Choice Requires="x14">
            <control shapeId="8208" r:id="rId18" name="Check Box 16">
              <controlPr locked="0" defaultSize="0" autoFill="0" autoLine="0" autoPict="0">
                <anchor moveWithCells="1">
                  <from>
                    <xdr:col>2</xdr:col>
                    <xdr:colOff>142875</xdr:colOff>
                    <xdr:row>60</xdr:row>
                    <xdr:rowOff>38100</xdr:rowOff>
                  </from>
                  <to>
                    <xdr:col>3</xdr:col>
                    <xdr:colOff>152400</xdr:colOff>
                    <xdr:row>61</xdr:row>
                    <xdr:rowOff>180975</xdr:rowOff>
                  </to>
                </anchor>
              </controlPr>
            </control>
          </mc:Choice>
        </mc:AlternateContent>
        <mc:AlternateContent xmlns:mc="http://schemas.openxmlformats.org/markup-compatibility/2006">
          <mc:Choice Requires="x14">
            <control shapeId="8209" r:id="rId19" name="Check Box 17">
              <controlPr locked="0" defaultSize="0" autoFill="0" autoLine="0" autoPict="0">
                <anchor moveWithCells="1">
                  <from>
                    <xdr:col>2</xdr:col>
                    <xdr:colOff>104775</xdr:colOff>
                    <xdr:row>29</xdr:row>
                    <xdr:rowOff>66675</xdr:rowOff>
                  </from>
                  <to>
                    <xdr:col>3</xdr:col>
                    <xdr:colOff>142875</xdr:colOff>
                    <xdr:row>31</xdr:row>
                    <xdr:rowOff>0</xdr:rowOff>
                  </to>
                </anchor>
              </controlPr>
            </control>
          </mc:Choice>
        </mc:AlternateContent>
        <mc:AlternateContent xmlns:mc="http://schemas.openxmlformats.org/markup-compatibility/2006">
          <mc:Choice Requires="x14">
            <control shapeId="8210" r:id="rId20" name="Check Box 18">
              <controlPr locked="0" defaultSize="0" autoFill="0" autoLine="0" autoPict="0">
                <anchor moveWithCells="1">
                  <from>
                    <xdr:col>1</xdr:col>
                    <xdr:colOff>28575</xdr:colOff>
                    <xdr:row>163</xdr:row>
                    <xdr:rowOff>0</xdr:rowOff>
                  </from>
                  <to>
                    <xdr:col>2</xdr:col>
                    <xdr:colOff>66675</xdr:colOff>
                    <xdr:row>164</xdr:row>
                    <xdr:rowOff>66675</xdr:rowOff>
                  </to>
                </anchor>
              </controlPr>
            </control>
          </mc:Choice>
        </mc:AlternateContent>
        <mc:AlternateContent xmlns:mc="http://schemas.openxmlformats.org/markup-compatibility/2006">
          <mc:Choice Requires="x14">
            <control shapeId="8211" r:id="rId21" name="Check Box 19">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12" r:id="rId22" name="Option Button 20">
              <controlPr locked="0" defaultSize="0" autoFill="0" autoLine="0" autoPict="0">
                <anchor moveWithCells="1">
                  <from>
                    <xdr:col>11</xdr:col>
                    <xdr:colOff>0</xdr:colOff>
                    <xdr:row>10</xdr:row>
                    <xdr:rowOff>104775</xdr:rowOff>
                  </from>
                  <to>
                    <xdr:col>13</xdr:col>
                    <xdr:colOff>66675</xdr:colOff>
                    <xdr:row>11</xdr:row>
                    <xdr:rowOff>142875</xdr:rowOff>
                  </to>
                </anchor>
              </controlPr>
            </control>
          </mc:Choice>
        </mc:AlternateContent>
        <mc:AlternateContent xmlns:mc="http://schemas.openxmlformats.org/markup-compatibility/2006">
          <mc:Choice Requires="x14">
            <control shapeId="8213" r:id="rId23" name="Option Button 21">
              <controlPr locked="0" defaultSize="0" autoFill="0" autoLine="0" autoPict="0">
                <anchor moveWithCells="1">
                  <from>
                    <xdr:col>18</xdr:col>
                    <xdr:colOff>76200</xdr:colOff>
                    <xdr:row>20</xdr:row>
                    <xdr:rowOff>219075</xdr:rowOff>
                  </from>
                  <to>
                    <xdr:col>28</xdr:col>
                    <xdr:colOff>219075</xdr:colOff>
                    <xdr:row>22</xdr:row>
                    <xdr:rowOff>38100</xdr:rowOff>
                  </to>
                </anchor>
              </controlPr>
            </control>
          </mc:Choice>
        </mc:AlternateContent>
        <mc:AlternateContent xmlns:mc="http://schemas.openxmlformats.org/markup-compatibility/2006">
          <mc:Choice Requires="x14">
            <control shapeId="8214" r:id="rId24" name="Option Button 22">
              <controlPr locked="0" defaultSize="0" autoFill="0" autoLine="0" autoPict="0">
                <anchor moveWithCells="1">
                  <from>
                    <xdr:col>26</xdr:col>
                    <xdr:colOff>180975</xdr:colOff>
                    <xdr:row>20</xdr:row>
                    <xdr:rowOff>219075</xdr:rowOff>
                  </from>
                  <to>
                    <xdr:col>30</xdr:col>
                    <xdr:colOff>219075</xdr:colOff>
                    <xdr:row>22</xdr:row>
                    <xdr:rowOff>38100</xdr:rowOff>
                  </to>
                </anchor>
              </controlPr>
            </control>
          </mc:Choice>
        </mc:AlternateContent>
        <mc:AlternateContent xmlns:mc="http://schemas.openxmlformats.org/markup-compatibility/2006">
          <mc:Choice Requires="x14">
            <control shapeId="8215" r:id="rId25" name="Group Box 23">
              <controlPr defaultSize="0" autoFill="0" autoPict="0">
                <anchor moveWithCells="1">
                  <from>
                    <xdr:col>17</xdr:col>
                    <xdr:colOff>257175</xdr:colOff>
                    <xdr:row>20</xdr:row>
                    <xdr:rowOff>219075</xdr:rowOff>
                  </from>
                  <to>
                    <xdr:col>32</xdr:col>
                    <xdr:colOff>257175</xdr:colOff>
                    <xdr:row>22</xdr:row>
                    <xdr:rowOff>38100</xdr:rowOff>
                  </to>
                </anchor>
              </controlPr>
            </control>
          </mc:Choice>
        </mc:AlternateContent>
        <mc:AlternateContent xmlns:mc="http://schemas.openxmlformats.org/markup-compatibility/2006">
          <mc:Choice Requires="x14">
            <control shapeId="8216" r:id="rId26" name="Option Button 24">
              <controlPr locked="0" defaultSize="0" autoFill="0" autoLine="0" autoPict="0">
                <anchor moveWithCells="1">
                  <from>
                    <xdr:col>1</xdr:col>
                    <xdr:colOff>104775</xdr:colOff>
                    <xdr:row>70</xdr:row>
                    <xdr:rowOff>0</xdr:rowOff>
                  </from>
                  <to>
                    <xdr:col>2</xdr:col>
                    <xdr:colOff>104775</xdr:colOff>
                    <xdr:row>71</xdr:row>
                    <xdr:rowOff>28575</xdr:rowOff>
                  </to>
                </anchor>
              </controlPr>
            </control>
          </mc:Choice>
        </mc:AlternateContent>
        <mc:AlternateContent xmlns:mc="http://schemas.openxmlformats.org/markup-compatibility/2006">
          <mc:Choice Requires="x14">
            <control shapeId="8217" r:id="rId27" name="Option Button 25">
              <controlPr locked="0" defaultSize="0" autoFill="0" autoLine="0" autoPict="0">
                <anchor moveWithCells="1">
                  <from>
                    <xdr:col>1</xdr:col>
                    <xdr:colOff>104775</xdr:colOff>
                    <xdr:row>71</xdr:row>
                    <xdr:rowOff>0</xdr:rowOff>
                  </from>
                  <to>
                    <xdr:col>2</xdr:col>
                    <xdr:colOff>104775</xdr:colOff>
                    <xdr:row>72</xdr:row>
                    <xdr:rowOff>28575</xdr:rowOff>
                  </to>
                </anchor>
              </controlPr>
            </control>
          </mc:Choice>
        </mc:AlternateContent>
        <mc:AlternateContent xmlns:mc="http://schemas.openxmlformats.org/markup-compatibility/2006">
          <mc:Choice Requires="x14">
            <control shapeId="8218" r:id="rId28" name="Option Button 26">
              <controlPr locked="0" defaultSize="0" autoFill="0" autoLine="0" autoPict="0">
                <anchor moveWithCells="1">
                  <from>
                    <xdr:col>1</xdr:col>
                    <xdr:colOff>104775</xdr:colOff>
                    <xdr:row>72</xdr:row>
                    <xdr:rowOff>0</xdr:rowOff>
                  </from>
                  <to>
                    <xdr:col>2</xdr:col>
                    <xdr:colOff>142875</xdr:colOff>
                    <xdr:row>73</xdr:row>
                    <xdr:rowOff>66675</xdr:rowOff>
                  </to>
                </anchor>
              </controlPr>
            </control>
          </mc:Choice>
        </mc:AlternateContent>
        <mc:AlternateContent xmlns:mc="http://schemas.openxmlformats.org/markup-compatibility/2006">
          <mc:Choice Requires="x14">
            <control shapeId="8219" r:id="rId29" name="Option Button 27">
              <controlPr locked="0" defaultSize="0" autoFill="0" autoLine="0" autoPict="0">
                <anchor moveWithCells="1">
                  <from>
                    <xdr:col>12</xdr:col>
                    <xdr:colOff>142875</xdr:colOff>
                    <xdr:row>99</xdr:row>
                    <xdr:rowOff>219075</xdr:rowOff>
                  </from>
                  <to>
                    <xdr:col>14</xdr:col>
                    <xdr:colOff>152400</xdr:colOff>
                    <xdr:row>101</xdr:row>
                    <xdr:rowOff>66675</xdr:rowOff>
                  </to>
                </anchor>
              </controlPr>
            </control>
          </mc:Choice>
        </mc:AlternateContent>
        <mc:AlternateContent xmlns:mc="http://schemas.openxmlformats.org/markup-compatibility/2006">
          <mc:Choice Requires="x14">
            <control shapeId="8220" r:id="rId30" name="Option Button 28">
              <controlPr locked="0" defaultSize="0" autoFill="0" autoLine="0" autoPict="0">
                <anchor moveWithCells="1">
                  <from>
                    <xdr:col>15</xdr:col>
                    <xdr:colOff>66675</xdr:colOff>
                    <xdr:row>99</xdr:row>
                    <xdr:rowOff>219075</xdr:rowOff>
                  </from>
                  <to>
                    <xdr:col>17</xdr:col>
                    <xdr:colOff>142875</xdr:colOff>
                    <xdr:row>101</xdr:row>
                    <xdr:rowOff>66675</xdr:rowOff>
                  </to>
                </anchor>
              </controlPr>
            </control>
          </mc:Choice>
        </mc:AlternateContent>
        <mc:AlternateContent xmlns:mc="http://schemas.openxmlformats.org/markup-compatibility/2006">
          <mc:Choice Requires="x14">
            <control shapeId="8221" r:id="rId31" name="Option Button 29">
              <controlPr locked="0" defaultSize="0" autoFill="0" autoLine="0" autoPict="0">
                <anchor moveWithCells="1">
                  <from>
                    <xdr:col>12</xdr:col>
                    <xdr:colOff>142875</xdr:colOff>
                    <xdr:row>102</xdr:row>
                    <xdr:rowOff>0</xdr:rowOff>
                  </from>
                  <to>
                    <xdr:col>14</xdr:col>
                    <xdr:colOff>142875</xdr:colOff>
                    <xdr:row>103</xdr:row>
                    <xdr:rowOff>66675</xdr:rowOff>
                  </to>
                </anchor>
              </controlPr>
            </control>
          </mc:Choice>
        </mc:AlternateContent>
        <mc:AlternateContent xmlns:mc="http://schemas.openxmlformats.org/markup-compatibility/2006">
          <mc:Choice Requires="x14">
            <control shapeId="8222" r:id="rId32" name="Option Button 30">
              <controlPr locked="0" defaultSize="0" autoFill="0" autoLine="0" autoPict="0">
                <anchor moveWithCells="1">
                  <from>
                    <xdr:col>15</xdr:col>
                    <xdr:colOff>66675</xdr:colOff>
                    <xdr:row>102</xdr:row>
                    <xdr:rowOff>0</xdr:rowOff>
                  </from>
                  <to>
                    <xdr:col>17</xdr:col>
                    <xdr:colOff>142875</xdr:colOff>
                    <xdr:row>103</xdr:row>
                    <xdr:rowOff>66675</xdr:rowOff>
                  </to>
                </anchor>
              </controlPr>
            </control>
          </mc:Choice>
        </mc:AlternateContent>
        <mc:AlternateContent xmlns:mc="http://schemas.openxmlformats.org/markup-compatibility/2006">
          <mc:Choice Requires="x14">
            <control shapeId="8223" r:id="rId33" name="Check Box 31">
              <controlPr locked="0" defaultSize="0" autoFill="0" autoLine="0" autoPict="0">
                <anchor moveWithCells="1">
                  <from>
                    <xdr:col>1</xdr:col>
                    <xdr:colOff>28575</xdr:colOff>
                    <xdr:row>166</xdr:row>
                    <xdr:rowOff>219075</xdr:rowOff>
                  </from>
                  <to>
                    <xdr:col>2</xdr:col>
                    <xdr:colOff>66675</xdr:colOff>
                    <xdr:row>168</xdr:row>
                    <xdr:rowOff>66675</xdr:rowOff>
                  </to>
                </anchor>
              </controlPr>
            </control>
          </mc:Choice>
        </mc:AlternateContent>
        <mc:AlternateContent xmlns:mc="http://schemas.openxmlformats.org/markup-compatibility/2006">
          <mc:Choice Requires="x14">
            <control shapeId="8224" r:id="rId34" name="Check Box 32">
              <controlPr locked="0" defaultSize="0" autoFill="0" autoLine="0" autoPict="0">
                <anchor moveWithCells="1">
                  <from>
                    <xdr:col>0</xdr:col>
                    <xdr:colOff>142875</xdr:colOff>
                    <xdr:row>152</xdr:row>
                    <xdr:rowOff>76200</xdr:rowOff>
                  </from>
                  <to>
                    <xdr:col>1</xdr:col>
                    <xdr:colOff>180975</xdr:colOff>
                    <xdr:row>153</xdr:row>
                    <xdr:rowOff>142875</xdr:rowOff>
                  </to>
                </anchor>
              </controlPr>
            </control>
          </mc:Choice>
        </mc:AlternateContent>
        <mc:AlternateContent xmlns:mc="http://schemas.openxmlformats.org/markup-compatibility/2006">
          <mc:Choice Requires="x14">
            <control shapeId="8225" r:id="rId35" name="Check Box 33">
              <controlPr locked="0" defaultSize="0" autoFill="0" autoLine="0" autoPict="0">
                <anchor moveWithCells="1">
                  <from>
                    <xdr:col>1</xdr:col>
                    <xdr:colOff>28575</xdr:colOff>
                    <xdr:row>168</xdr:row>
                    <xdr:rowOff>0</xdr:rowOff>
                  </from>
                  <to>
                    <xdr:col>2</xdr:col>
                    <xdr:colOff>66675</xdr:colOff>
                    <xdr:row>169</xdr:row>
                    <xdr:rowOff>66675</xdr:rowOff>
                  </to>
                </anchor>
              </controlPr>
            </control>
          </mc:Choice>
        </mc:AlternateContent>
        <mc:AlternateContent xmlns:mc="http://schemas.openxmlformats.org/markup-compatibility/2006">
          <mc:Choice Requires="x14">
            <control shapeId="8226" r:id="rId36" name="Group Box 34">
              <controlPr defaultSize="0" autoFill="0" autoPict="0">
                <anchor moveWithCells="1">
                  <from>
                    <xdr:col>9</xdr:col>
                    <xdr:colOff>257175</xdr:colOff>
                    <xdr:row>10</xdr:row>
                    <xdr:rowOff>76200</xdr:rowOff>
                  </from>
                  <to>
                    <xdr:col>19</xdr:col>
                    <xdr:colOff>66675</xdr:colOff>
                    <xdr:row>11</xdr:row>
                    <xdr:rowOff>142875</xdr:rowOff>
                  </to>
                </anchor>
              </controlPr>
            </control>
          </mc:Choice>
        </mc:AlternateContent>
        <mc:AlternateContent xmlns:mc="http://schemas.openxmlformats.org/markup-compatibility/2006">
          <mc:Choice Requires="x14">
            <control shapeId="8227" r:id="rId37" name="Check Box 35">
              <controlPr locked="0" defaultSize="0" autoFill="0" autoLine="0" autoPict="0">
                <anchor moveWithCells="1">
                  <from>
                    <xdr:col>1</xdr:col>
                    <xdr:colOff>28575</xdr:colOff>
                    <xdr:row>168</xdr:row>
                    <xdr:rowOff>190500</xdr:rowOff>
                  </from>
                  <to>
                    <xdr:col>2</xdr:col>
                    <xdr:colOff>66675</xdr:colOff>
                    <xdr:row>170</xdr:row>
                    <xdr:rowOff>66675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xdr:col>
                    <xdr:colOff>104775</xdr:colOff>
                    <xdr:row>73</xdr:row>
                    <xdr:rowOff>28575</xdr:rowOff>
                  </from>
                  <to>
                    <xdr:col>2</xdr:col>
                    <xdr:colOff>142875</xdr:colOff>
                    <xdr:row>74</xdr:row>
                    <xdr:rowOff>66675</xdr:rowOff>
                  </to>
                </anchor>
              </controlPr>
            </control>
          </mc:Choice>
        </mc:AlternateContent>
        <mc:AlternateContent xmlns:mc="http://schemas.openxmlformats.org/markup-compatibility/2006">
          <mc:Choice Requires="x14">
            <control shapeId="8229" r:id="rId39" name="Option Button 37">
              <controlPr defaultSize="0" autoFill="0" autoLine="0" autoPict="0">
                <anchor moveWithCells="1">
                  <from>
                    <xdr:col>1</xdr:col>
                    <xdr:colOff>104775</xdr:colOff>
                    <xdr:row>74</xdr:row>
                    <xdr:rowOff>28575</xdr:rowOff>
                  </from>
                  <to>
                    <xdr:col>2</xdr:col>
                    <xdr:colOff>142875</xdr:colOff>
                    <xdr:row>75</xdr:row>
                    <xdr:rowOff>66675</xdr:rowOff>
                  </to>
                </anchor>
              </controlPr>
            </control>
          </mc:Choice>
        </mc:AlternateContent>
        <mc:AlternateContent xmlns:mc="http://schemas.openxmlformats.org/markup-compatibility/2006">
          <mc:Choice Requires="x14">
            <control shapeId="8230" r:id="rId40" name="Group Box 38">
              <controlPr defaultSize="0" autoFill="0" autoPict="0">
                <anchor moveWithCells="1">
                  <from>
                    <xdr:col>1</xdr:col>
                    <xdr:colOff>0</xdr:colOff>
                    <xdr:row>70</xdr:row>
                    <xdr:rowOff>0</xdr:rowOff>
                  </from>
                  <to>
                    <xdr:col>3</xdr:col>
                    <xdr:colOff>0</xdr:colOff>
                    <xdr:row>77</xdr:row>
                    <xdr:rowOff>38100</xdr:rowOff>
                  </to>
                </anchor>
              </controlPr>
            </control>
          </mc:Choice>
        </mc:AlternateContent>
        <mc:AlternateContent xmlns:mc="http://schemas.openxmlformats.org/markup-compatibility/2006">
          <mc:Choice Requires="x14">
            <control shapeId="8231" r:id="rId41" name="Check Box 39">
              <controlPr locked="0" defaultSize="0" autoFill="0" autoLine="0" autoPict="0">
                <anchor moveWithCells="1">
                  <from>
                    <xdr:col>1</xdr:col>
                    <xdr:colOff>28575</xdr:colOff>
                    <xdr:row>169</xdr:row>
                    <xdr:rowOff>180975</xdr:rowOff>
                  </from>
                  <to>
                    <xdr:col>2</xdr:col>
                    <xdr:colOff>66675</xdr:colOff>
                    <xdr:row>171</xdr:row>
                    <xdr:rowOff>66675</xdr:rowOff>
                  </to>
                </anchor>
              </controlPr>
            </control>
          </mc:Choice>
        </mc:AlternateContent>
        <mc:AlternateContent xmlns:mc="http://schemas.openxmlformats.org/markup-compatibility/2006">
          <mc:Choice Requires="x14">
            <control shapeId="8232" r:id="rId42" name="Check Box 40">
              <controlPr locked="0" defaultSize="0" autoFill="0" autoLine="0" autoPict="0">
                <anchor moveWithCells="1">
                  <from>
                    <xdr:col>1</xdr:col>
                    <xdr:colOff>28575</xdr:colOff>
                    <xdr:row>171</xdr:row>
                    <xdr:rowOff>180975</xdr:rowOff>
                  </from>
                  <to>
                    <xdr:col>2</xdr:col>
                    <xdr:colOff>66675</xdr:colOff>
                    <xdr:row>173</xdr:row>
                    <xdr:rowOff>66675</xdr:rowOff>
                  </to>
                </anchor>
              </controlPr>
            </control>
          </mc:Choice>
        </mc:AlternateContent>
        <mc:AlternateContent xmlns:mc="http://schemas.openxmlformats.org/markup-compatibility/2006">
          <mc:Choice Requires="x14">
            <control shapeId="8233" r:id="rId43" name="Check Box 41">
              <controlPr locked="0" defaultSize="0" autoFill="0" autoLine="0" autoPict="0">
                <anchor moveWithCells="1">
                  <from>
                    <xdr:col>1</xdr:col>
                    <xdr:colOff>28575</xdr:colOff>
                    <xdr:row>170</xdr:row>
                    <xdr:rowOff>180975</xdr:rowOff>
                  </from>
                  <to>
                    <xdr:col>2</xdr:col>
                    <xdr:colOff>66675</xdr:colOff>
                    <xdr:row>172</xdr:row>
                    <xdr:rowOff>66675</xdr:rowOff>
                  </to>
                </anchor>
              </controlPr>
            </control>
          </mc:Choice>
        </mc:AlternateContent>
        <mc:AlternateContent xmlns:mc="http://schemas.openxmlformats.org/markup-compatibility/2006">
          <mc:Choice Requires="x14">
            <control shapeId="8234" r:id="rId44" name="Group Box 42">
              <controlPr defaultSize="0" autoFill="0" autoPict="0">
                <anchor moveWithCells="1">
                  <from>
                    <xdr:col>11</xdr:col>
                    <xdr:colOff>219075</xdr:colOff>
                    <xdr:row>99</xdr:row>
                    <xdr:rowOff>180975</xdr:rowOff>
                  </from>
                  <to>
                    <xdr:col>20</xdr:col>
                    <xdr:colOff>28575</xdr:colOff>
                    <xdr:row>102</xdr:row>
                    <xdr:rowOff>0</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11</xdr:col>
                    <xdr:colOff>190500</xdr:colOff>
                    <xdr:row>101</xdr:row>
                    <xdr:rowOff>66675</xdr:rowOff>
                  </from>
                  <to>
                    <xdr:col>20</xdr:col>
                    <xdr:colOff>66675</xdr:colOff>
                    <xdr:row>102</xdr:row>
                    <xdr:rowOff>142875</xdr:rowOff>
                  </to>
                </anchor>
              </controlPr>
            </control>
          </mc:Choice>
        </mc:AlternateContent>
        <mc:AlternateContent xmlns:mc="http://schemas.openxmlformats.org/markup-compatibility/2006">
          <mc:Choice Requires="x14">
            <control shapeId="8236" r:id="rId46" name="Check Box 44">
              <controlPr locked="0" defaultSize="0" autoFill="0" autoLine="0" autoPict="0">
                <anchor moveWithCells="1">
                  <from>
                    <xdr:col>1</xdr:col>
                    <xdr:colOff>28575</xdr:colOff>
                    <xdr:row>162</xdr:row>
                    <xdr:rowOff>28575</xdr:rowOff>
                  </from>
                  <to>
                    <xdr:col>2</xdr:col>
                    <xdr:colOff>66675</xdr:colOff>
                    <xdr:row>163</xdr:row>
                    <xdr:rowOff>66675</xdr:rowOff>
                  </to>
                </anchor>
              </controlPr>
            </control>
          </mc:Choice>
        </mc:AlternateContent>
        <mc:AlternateContent xmlns:mc="http://schemas.openxmlformats.org/markup-compatibility/2006">
          <mc:Choice Requires="x14">
            <control shapeId="8237" r:id="rId47" name="Check Box 45">
              <controlPr locked="0" defaultSize="0" autoFill="0" autoLine="0" autoPict="0">
                <anchor moveWithCells="1">
                  <from>
                    <xdr:col>1</xdr:col>
                    <xdr:colOff>28575</xdr:colOff>
                    <xdr:row>160</xdr:row>
                    <xdr:rowOff>180975</xdr:rowOff>
                  </from>
                  <to>
                    <xdr:col>2</xdr:col>
                    <xdr:colOff>66675</xdr:colOff>
                    <xdr:row>162</xdr:row>
                    <xdr:rowOff>114300</xdr:rowOff>
                  </to>
                </anchor>
              </controlPr>
            </control>
          </mc:Choice>
        </mc:AlternateContent>
        <mc:AlternateContent xmlns:mc="http://schemas.openxmlformats.org/markup-compatibility/2006">
          <mc:Choice Requires="x14">
            <control shapeId="8238" r:id="rId48" name="Check Box 46">
              <controlPr locked="0" defaultSize="0" autoFill="0" autoLine="0" autoPict="0">
                <anchor moveWithCells="1">
                  <from>
                    <xdr:col>1</xdr:col>
                    <xdr:colOff>28575</xdr:colOff>
                    <xdr:row>160</xdr:row>
                    <xdr:rowOff>0</xdr:rowOff>
                  </from>
                  <to>
                    <xdr:col>2</xdr:col>
                    <xdr:colOff>66675</xdr:colOff>
                    <xdr:row>161</xdr:row>
                    <xdr:rowOff>66675</xdr:rowOff>
                  </to>
                </anchor>
              </controlPr>
            </control>
          </mc:Choice>
        </mc:AlternateContent>
        <mc:AlternateContent xmlns:mc="http://schemas.openxmlformats.org/markup-compatibility/2006">
          <mc:Choice Requires="x14">
            <control shapeId="8239" r:id="rId49" name="Check Box 47">
              <controlPr locked="0" defaultSize="0" autoFill="0" autoLine="0" autoPict="0">
                <anchor moveWithCells="1">
                  <from>
                    <xdr:col>1</xdr:col>
                    <xdr:colOff>28575</xdr:colOff>
                    <xdr:row>159</xdr:row>
                    <xdr:rowOff>76200</xdr:rowOff>
                  </from>
                  <to>
                    <xdr:col>2</xdr:col>
                    <xdr:colOff>66675</xdr:colOff>
                    <xdr:row>161</xdr:row>
                    <xdr:rowOff>0</xdr:rowOff>
                  </to>
                </anchor>
              </controlPr>
            </control>
          </mc:Choice>
        </mc:AlternateContent>
        <mc:AlternateContent xmlns:mc="http://schemas.openxmlformats.org/markup-compatibility/2006">
          <mc:Choice Requires="x14">
            <control shapeId="8240" r:id="rId50" name="Option Button 48">
              <controlPr locked="0" defaultSize="0" autoFill="0" autoLine="0" autoPict="0">
                <anchor moveWithCells="1">
                  <from>
                    <xdr:col>14</xdr:col>
                    <xdr:colOff>28575</xdr:colOff>
                    <xdr:row>11</xdr:row>
                    <xdr:rowOff>28575</xdr:rowOff>
                  </from>
                  <to>
                    <xdr:col>16</xdr:col>
                    <xdr:colOff>142875</xdr:colOff>
                    <xdr:row>12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Aide</vt:lpstr>
      <vt:lpstr>Formulaire_Fr</vt:lpstr>
      <vt:lpstr>annexe art.59</vt:lpstr>
      <vt:lpstr>Hilfe</vt:lpstr>
      <vt:lpstr>Formular_De</vt:lpstr>
      <vt:lpstr>Anhang Art.59</vt:lpstr>
      <vt:lpstr>Formulaire_Fr!Impression_des_titres</vt:lpstr>
      <vt:lpstr>Formular_De!Impression_des_titres</vt:lpstr>
      <vt:lpstr>Aide!Zone_d_impression</vt:lpstr>
      <vt:lpstr>'Anhang Art.59'!Zone_d_impression</vt:lpstr>
      <vt:lpstr>'annexe art.59'!Zone_d_impression</vt:lpstr>
      <vt:lpstr>Formulaire_Fr!Zone_d_impression</vt:lpstr>
      <vt:lpstr>Formular_De!Zone_d_impression</vt:lpstr>
      <vt:lpstr>Hilfe!Zone_d_impression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Thoumyre Charles</dc:creator>
  <cp:lastModifiedBy>Tanina MENOUD</cp:lastModifiedBy>
  <cp:lastPrinted>2026-04-14T13:25:08Z</cp:lastPrinted>
  <dcterms:created xsi:type="dcterms:W3CDTF">2023-03-22T11:58:24Z</dcterms:created>
  <dcterms:modified xsi:type="dcterms:W3CDTF">2026-04-14T13:27:07Z</dcterms:modified>
</cp:coreProperties>
</file>