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2625" yWindow="60" windowWidth="23700" windowHeight="12330" tabRatio="528"/>
  </bookViews>
  <sheets>
    <sheet name="Version avancée" sheetId="3" r:id="rId1"/>
    <sheet name="Annexe" sheetId="8" r:id="rId2"/>
    <sheet name="Eligibilité" sheetId="11" r:id="rId3"/>
    <sheet name="Exemple" sheetId="9" state="hidden" r:id="rId4"/>
  </sheets>
  <definedNames>
    <definedName name="annee_annonce">'Version avancée'!$O$10</definedName>
    <definedName name="annuite_amortissement">'Version avancée'!$E$17</definedName>
    <definedName name="autoconsommation">'Version avancée'!$U$3</definedName>
    <definedName name="categorie_puissance">'Version avancée'!$E$7</definedName>
    <definedName name="cout_annuel_moyen" localSheetId="0">'Version avancée'!#REF!</definedName>
    <definedName name="cout_annuel_moyen">#REF!</definedName>
    <definedName name="cout_total">'Version avancée'!$J$3</definedName>
    <definedName name="croissance_prix_elec">'Version avancée'!$U$8</definedName>
    <definedName name="date_mise_en_service">'Version avancée'!$O$11</definedName>
    <definedName name="duree_amortissement">'Version avancée'!$J$10</definedName>
    <definedName name="duree_rpc_annee">'Version avancée'!$U$12</definedName>
    <definedName name="ex1_autoconsommation">Exemple!$T$4</definedName>
    <definedName name="ex1_choix_aide">Exemple!$O$10</definedName>
    <definedName name="ex1_cout_total">Exemple!$J$4</definedName>
    <definedName name="ex1_croissance_prix_elec">Exemple!$T$9</definedName>
    <definedName name="ex1_date_annonce">Exemple!$O$11</definedName>
    <definedName name="ex1_date_mise_en_service">Exemple!$O$12</definedName>
    <definedName name="ex1_effet_fiscal">Exemple!$O$5</definedName>
    <definedName name="ex1_frais_assurance">Exemple!$J$12</definedName>
    <definedName name="ex1_m2">Exemple!$E$4</definedName>
    <definedName name="ex1_pourcent_fp">Exemple!$J$7</definedName>
    <definedName name="ex1_puissance_installee">Exemple!$E$6</definedName>
    <definedName name="ex1_puissance_specifique">Exemple!$E$9</definedName>
    <definedName name="ex1_reduction">Exemple!$E$10</definedName>
    <definedName name="ex1_subvention_communale">Exemple!$J$5</definedName>
    <definedName name="ex1_tarif_achat_au_distributeur">Exemple!$T$8</definedName>
    <definedName name="ex1_tarif_vente_au_distributeur">Exemple!$T$7</definedName>
    <definedName name="ex1_taux_deduction_fiscale">Exemple!$O$4</definedName>
    <definedName name="ex1_taux_imposition_revenu">Exemple!$O$6</definedName>
    <definedName name="ex1_taux_interet_dette">Exemple!$J$9</definedName>
    <definedName name="ex1_temps_attente_rpc">Exemple!$T$12</definedName>
    <definedName name="ex1_type_installation">Exemple!$E$5</definedName>
    <definedName name="fond_propre">'Version avancée'!$I$6</definedName>
    <definedName name="frais_annuel">'Version avancée'!$J$11</definedName>
    <definedName name="inv_initial">'Version avancée'!$J$5</definedName>
    <definedName name="l_cout_specifique">#REF!</definedName>
    <definedName name="l_cout_total">#REF!</definedName>
    <definedName name="l_croissance_prix_elec">#REF!</definedName>
    <definedName name="l_duree_amortissement">#REF!</definedName>
    <definedName name="l_frais_annuel">#REF!</definedName>
    <definedName name="l_m2_panneau">#REF!</definedName>
    <definedName name="l_montant_dispo">#REF!</definedName>
    <definedName name="l_montant_initial">#REF!</definedName>
    <definedName name="l_montant_initiale">#REF!</definedName>
    <definedName name="l_production_annuelle">#REF!</definedName>
    <definedName name="l_production_non_imposee">#REF!</definedName>
    <definedName name="l_production_specifique">#REF!</definedName>
    <definedName name="l_puissance_installee">#REF!</definedName>
    <definedName name="l_puissance_m2">#REF!</definedName>
    <definedName name="l_reduction_annuelle_prod">#REF!</definedName>
    <definedName name="l_soleil_hiver">#REF!</definedName>
    <definedName name="l_subvention_init">#REF!</definedName>
    <definedName name="l_tarif_vente_elec">#REF!</definedName>
    <definedName name="l_taux_deduction_fiscale">#REF!</definedName>
    <definedName name="l_taux_imposition_revenu">#REF!</definedName>
    <definedName name="l_taux_interet">#REF!</definedName>
    <definedName name="l_type">#REF!</definedName>
    <definedName name="l_type_installation">#REF!</definedName>
    <definedName name="m2_panneaux">'Version avancée'!$E$3</definedName>
    <definedName name="mode_subvention_dispo">Eligibilité!$C$19</definedName>
    <definedName name="montant_dette_initiale">'Version avancée'!$I$7</definedName>
    <definedName name="part_electricite_vendue">'Version avancée'!$U$4</definedName>
    <definedName name="pourcent_fond_propre">'Version avancée'!$J$6</definedName>
    <definedName name="production_annuelle">'Version avancée'!$E$10</definedName>
    <definedName name="production_non_imposee">'Version avancée'!$O$6</definedName>
    <definedName name="production_specifique">'Version avancée'!$E$8</definedName>
    <definedName name="puissance_installee">'Version avancée'!$E$5</definedName>
    <definedName name="reduction_annuelle_prod">'Version avancée'!$E$9</definedName>
    <definedName name="reinvestissement_effet_fiscal">'Version avancée'!$O$4</definedName>
    <definedName name="rendemement_fp">'Version avancée'!$O$15</definedName>
    <definedName name="rpc_data_range">Annexe!$D$5:$D$20</definedName>
    <definedName name="rpc_version_avancee">Annexe!$B$46</definedName>
    <definedName name="rpc_version_simple">Annexe!#REF!</definedName>
    <definedName name="ru_base">Annexe!$B$68</definedName>
    <definedName name="ru_puissance">Annexe!$B$69</definedName>
    <definedName name="subvention_communale">'Version avancée'!$J$4</definedName>
    <definedName name="subvention_init_avancee">'Version avancée'!$O$12</definedName>
    <definedName name="tarif_achat_elec_distributeur">'Version avancée'!$U$7</definedName>
    <definedName name="tarif_vente_elec">'Version avancée'!$U$5</definedName>
    <definedName name="tarif_vente_elec_distributeur">'Version avancée'!$U$6</definedName>
    <definedName name="taux_actualisation">'Version avancée'!$O$16</definedName>
    <definedName name="taux_deduction_fiscale">'Version avancée'!$O$3</definedName>
    <definedName name="taux_imposition_revenu">'Version avancée'!$O$5</definedName>
    <definedName name="taux_interet">'Version avancée'!$J$8</definedName>
    <definedName name="taux_remuneration_revenu_place">#REF!</definedName>
    <definedName name="temps_attente">'Version avancée'!$U$11</definedName>
    <definedName name="type_installation">'Version avancée'!$E$4</definedName>
    <definedName name="type_subvention">#REF!</definedName>
    <definedName name="type_subvention_avancee">'Version avancée'!$O$9</definedName>
  </definedNames>
  <calcPr calcId="145621" concurrentCalc="0"/>
</workbook>
</file>

<file path=xl/calcChain.xml><?xml version="1.0" encoding="utf-8"?>
<calcChain xmlns="http://schemas.openxmlformats.org/spreadsheetml/2006/main">
  <c r="M3" i="8" l="1"/>
  <c r="N3" i="8"/>
  <c r="M4" i="8"/>
  <c r="N4" i="8"/>
  <c r="N58" i="8"/>
  <c r="M58" i="8"/>
  <c r="N23" i="8"/>
  <c r="M23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J38" i="9"/>
  <c r="E39" i="9"/>
  <c r="T33" i="9"/>
  <c r="E35" i="9"/>
  <c r="T41" i="9"/>
  <c r="T27" i="9"/>
  <c r="T13" i="9"/>
  <c r="T39" i="9"/>
  <c r="T25" i="9"/>
  <c r="T11" i="9"/>
  <c r="T38" i="9"/>
  <c r="T24" i="9"/>
  <c r="T10" i="9"/>
  <c r="J24" i="9"/>
  <c r="J10" i="9"/>
  <c r="E21" i="9"/>
  <c r="E25" i="9"/>
  <c r="T19" i="9"/>
  <c r="E11" i="9"/>
  <c r="T5" i="9"/>
  <c r="E7" i="9"/>
  <c r="J36" i="9"/>
  <c r="J22" i="9"/>
  <c r="J8" i="9"/>
  <c r="U12" i="3"/>
  <c r="D25" i="3"/>
  <c r="B40" i="3"/>
  <c r="B41" i="3"/>
  <c r="J7" i="3"/>
  <c r="O16" i="3"/>
  <c r="F3" i="8"/>
  <c r="G3" i="8"/>
  <c r="H3" i="8"/>
  <c r="I3" i="8"/>
  <c r="J3" i="8"/>
  <c r="K3" i="8"/>
  <c r="L3" i="8"/>
  <c r="E3" i="8"/>
  <c r="L58" i="8"/>
  <c r="K58" i="8"/>
  <c r="J58" i="8"/>
  <c r="I58" i="8"/>
  <c r="H58" i="8"/>
  <c r="G58" i="8"/>
  <c r="F58" i="8"/>
  <c r="E58" i="8"/>
  <c r="F52" i="8"/>
  <c r="G52" i="8"/>
  <c r="H52" i="8"/>
  <c r="I52" i="8"/>
  <c r="J52" i="8"/>
  <c r="K52" i="8"/>
  <c r="L52" i="8"/>
  <c r="E52" i="8"/>
  <c r="J4" i="8"/>
  <c r="K4" i="8"/>
  <c r="L4" i="8"/>
  <c r="F23" i="8"/>
  <c r="G23" i="8"/>
  <c r="H23" i="8"/>
  <c r="I23" i="8"/>
  <c r="J23" i="8"/>
  <c r="K23" i="8"/>
  <c r="L23" i="8"/>
  <c r="E23" i="8"/>
  <c r="B65" i="8"/>
  <c r="B66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B43" i="8"/>
  <c r="F4" i="8"/>
  <c r="G4" i="8"/>
  <c r="H4" i="8"/>
  <c r="I4" i="8"/>
  <c r="E4" i="8"/>
  <c r="E7" i="3"/>
  <c r="C18" i="11"/>
  <c r="D18" i="11"/>
  <c r="C17" i="11"/>
  <c r="D17" i="11"/>
  <c r="E10" i="3"/>
  <c r="C45" i="3"/>
  <c r="H23" i="3"/>
  <c r="B24" i="3"/>
  <c r="H24" i="3"/>
  <c r="B25" i="3"/>
  <c r="H25" i="3"/>
  <c r="B26" i="3"/>
  <c r="B42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H26" i="3"/>
  <c r="B27" i="3"/>
  <c r="H27" i="3"/>
  <c r="B28" i="3"/>
  <c r="H28" i="3"/>
  <c r="B29" i="3"/>
  <c r="H29" i="3"/>
  <c r="B30" i="3"/>
  <c r="H30" i="3"/>
  <c r="B31" i="3"/>
  <c r="H31" i="3"/>
  <c r="B32" i="3"/>
  <c r="H32" i="3"/>
  <c r="B33" i="3"/>
  <c r="H33" i="3"/>
  <c r="B34" i="3"/>
  <c r="H34" i="3"/>
  <c r="B35" i="3"/>
  <c r="B36" i="3"/>
  <c r="B37" i="3"/>
  <c r="B38" i="3"/>
  <c r="B39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J9" i="3"/>
  <c r="E6" i="3"/>
  <c r="U10" i="3"/>
  <c r="U9" i="3"/>
  <c r="B17" i="3"/>
  <c r="B42" i="3"/>
  <c r="B43" i="3"/>
  <c r="B44" i="3"/>
  <c r="B45" i="3"/>
  <c r="B46" i="3"/>
  <c r="B47" i="3"/>
  <c r="D24" i="3"/>
  <c r="D47" i="3"/>
  <c r="D44" i="3"/>
  <c r="C43" i="3"/>
  <c r="C39" i="3"/>
  <c r="C23" i="3"/>
  <c r="D27" i="3"/>
  <c r="D26" i="3"/>
  <c r="E42" i="8"/>
  <c r="E43" i="8"/>
  <c r="D45" i="3"/>
  <c r="D46" i="3"/>
  <c r="D43" i="3"/>
  <c r="D23" i="3"/>
  <c r="H49" i="3"/>
  <c r="U4" i="3"/>
  <c r="G42" i="3"/>
  <c r="C36" i="3"/>
  <c r="C24" i="3"/>
  <c r="C47" i="3"/>
  <c r="C33" i="3"/>
  <c r="C34" i="3"/>
  <c r="C25" i="3"/>
  <c r="C44" i="3"/>
  <c r="C30" i="3"/>
  <c r="C37" i="3"/>
  <c r="C29" i="3"/>
  <c r="C31" i="3"/>
  <c r="C28" i="3"/>
  <c r="C46" i="3"/>
  <c r="C26" i="3"/>
  <c r="C27" i="3"/>
  <c r="C40" i="3"/>
  <c r="C32" i="3"/>
  <c r="C38" i="3"/>
  <c r="C41" i="3"/>
  <c r="B44" i="8"/>
  <c r="B47" i="8"/>
  <c r="C42" i="3"/>
  <c r="C35" i="3"/>
  <c r="G37" i="3"/>
  <c r="B68" i="8"/>
  <c r="Y4" i="3"/>
  <c r="E45" i="8"/>
  <c r="C19" i="11"/>
  <c r="O23" i="9"/>
  <c r="E44" i="8"/>
  <c r="E47" i="8"/>
  <c r="D41" i="8"/>
  <c r="E46" i="8"/>
  <c r="G30" i="3"/>
  <c r="G35" i="3"/>
  <c r="G38" i="3"/>
  <c r="G26" i="3"/>
  <c r="E27" i="3"/>
  <c r="G31" i="3"/>
  <c r="G25" i="3"/>
  <c r="F22" i="3"/>
  <c r="I22" i="3"/>
  <c r="F27" i="3"/>
  <c r="G24" i="3"/>
  <c r="G39" i="3"/>
  <c r="G29" i="3"/>
  <c r="E24" i="3"/>
  <c r="G27" i="3"/>
  <c r="E44" i="3"/>
  <c r="G28" i="3"/>
  <c r="G46" i="3"/>
  <c r="G40" i="3"/>
  <c r="G47" i="3"/>
  <c r="F24" i="3"/>
  <c r="I24" i="3"/>
  <c r="G32" i="3"/>
  <c r="G43" i="3"/>
  <c r="E43" i="3"/>
  <c r="G44" i="3"/>
  <c r="G33" i="3"/>
  <c r="E46" i="3"/>
  <c r="G34" i="3"/>
  <c r="G45" i="3"/>
  <c r="E45" i="3"/>
  <c r="F45" i="3"/>
  <c r="I45" i="3"/>
  <c r="G23" i="3"/>
  <c r="E47" i="3"/>
  <c r="G36" i="3"/>
  <c r="G41" i="3"/>
  <c r="E26" i="3"/>
  <c r="F47" i="3"/>
  <c r="F23" i="3"/>
  <c r="F46" i="3"/>
  <c r="E23" i="3"/>
  <c r="B69" i="8"/>
  <c r="Y5" i="3"/>
  <c r="F26" i="3"/>
  <c r="C49" i="3"/>
  <c r="E25" i="3"/>
  <c r="F44" i="3"/>
  <c r="F43" i="3"/>
  <c r="F25" i="3"/>
  <c r="I47" i="3"/>
  <c r="O37" i="9"/>
  <c r="O8" i="3"/>
  <c r="B46" i="8"/>
  <c r="I27" i="3"/>
  <c r="O13" i="9"/>
  <c r="J6" i="9"/>
  <c r="I7" i="9"/>
  <c r="I8" i="9"/>
  <c r="O27" i="9"/>
  <c r="J20" i="9"/>
  <c r="I21" i="9"/>
  <c r="I22" i="9"/>
  <c r="O12" i="3"/>
  <c r="P27" i="9"/>
  <c r="O41" i="9"/>
  <c r="J34" i="9"/>
  <c r="I35" i="9"/>
  <c r="I36" i="9"/>
  <c r="I43" i="3"/>
  <c r="I44" i="3"/>
  <c r="I23" i="3"/>
  <c r="I46" i="3"/>
  <c r="G49" i="3"/>
  <c r="I26" i="3"/>
  <c r="I25" i="3"/>
  <c r="P12" i="3"/>
  <c r="P41" i="9"/>
  <c r="T20" i="9"/>
  <c r="U5" i="3"/>
  <c r="D28" i="3"/>
  <c r="T6" i="9"/>
  <c r="T34" i="9"/>
  <c r="P13" i="9"/>
  <c r="J5" i="3"/>
  <c r="I6" i="3"/>
  <c r="E28" i="3"/>
  <c r="F28" i="3"/>
  <c r="D29" i="3"/>
  <c r="D30" i="3"/>
  <c r="D40" i="3"/>
  <c r="D38" i="3"/>
  <c r="D39" i="3"/>
  <c r="D36" i="3"/>
  <c r="D31" i="3"/>
  <c r="D35" i="3"/>
  <c r="D41" i="3"/>
  <c r="D34" i="3"/>
  <c r="D42" i="3"/>
  <c r="D37" i="3"/>
  <c r="D33" i="3"/>
  <c r="D32" i="3"/>
  <c r="P22" i="3"/>
  <c r="I7" i="3"/>
  <c r="O22" i="3"/>
  <c r="J22" i="3"/>
  <c r="J49" i="3"/>
  <c r="E17" i="3"/>
  <c r="I28" i="3"/>
  <c r="E30" i="3"/>
  <c r="F30" i="3"/>
  <c r="F29" i="3"/>
  <c r="E29" i="3"/>
  <c r="E34" i="3"/>
  <c r="F34" i="3"/>
  <c r="E33" i="3"/>
  <c r="F33" i="3"/>
  <c r="E41" i="3"/>
  <c r="F41" i="3"/>
  <c r="E39" i="3"/>
  <c r="F39" i="3"/>
  <c r="E36" i="3"/>
  <c r="F36" i="3"/>
  <c r="E37" i="3"/>
  <c r="F37" i="3"/>
  <c r="E35" i="3"/>
  <c r="F35" i="3"/>
  <c r="F38" i="3"/>
  <c r="E38" i="3"/>
  <c r="E32" i="3"/>
  <c r="F32" i="3"/>
  <c r="F42" i="3"/>
  <c r="E42" i="3"/>
  <c r="E31" i="3"/>
  <c r="F31" i="3"/>
  <c r="E40" i="3"/>
  <c r="F40" i="3"/>
  <c r="Q22" i="3"/>
  <c r="L23" i="3"/>
  <c r="M22" i="3"/>
  <c r="K23" i="3"/>
  <c r="I35" i="3"/>
  <c r="I36" i="3"/>
  <c r="I42" i="3"/>
  <c r="I38" i="3"/>
  <c r="I37" i="3"/>
  <c r="I33" i="3"/>
  <c r="I29" i="3"/>
  <c r="I30" i="3"/>
  <c r="I40" i="3"/>
  <c r="I39" i="3"/>
  <c r="F49" i="3"/>
  <c r="I31" i="3"/>
  <c r="E49" i="3"/>
  <c r="I32" i="3"/>
  <c r="I41" i="3"/>
  <c r="I34" i="3"/>
  <c r="K24" i="3"/>
  <c r="M23" i="3"/>
  <c r="N23" i="3"/>
  <c r="O23" i="3"/>
  <c r="I49" i="3"/>
  <c r="L24" i="3"/>
  <c r="M24" i="3"/>
  <c r="N24" i="3"/>
  <c r="O24" i="3"/>
  <c r="P23" i="3"/>
  <c r="L25" i="3"/>
  <c r="K26" i="3"/>
  <c r="K25" i="3"/>
  <c r="Q23" i="3"/>
  <c r="P24" i="3"/>
  <c r="M25" i="3"/>
  <c r="N25" i="3"/>
  <c r="O25" i="3"/>
  <c r="L26" i="3"/>
  <c r="K27" i="3"/>
  <c r="Q24" i="3"/>
  <c r="P25" i="3"/>
  <c r="Q25" i="3"/>
  <c r="M26" i="3"/>
  <c r="N26" i="3"/>
  <c r="O26" i="3"/>
  <c r="L27" i="3"/>
  <c r="K28" i="3"/>
  <c r="P26" i="3"/>
  <c r="Q26" i="3"/>
  <c r="M27" i="3"/>
  <c r="N27" i="3"/>
  <c r="O27" i="3"/>
  <c r="P27" i="3"/>
  <c r="Q27" i="3"/>
  <c r="L28" i="3"/>
  <c r="M28" i="3"/>
  <c r="K29" i="3"/>
  <c r="N28" i="3"/>
  <c r="O28" i="3"/>
  <c r="L29" i="3"/>
  <c r="P28" i="3"/>
  <c r="Q28" i="3"/>
  <c r="K30" i="3"/>
  <c r="M29" i="3"/>
  <c r="N29" i="3"/>
  <c r="O29" i="3"/>
  <c r="L30" i="3"/>
  <c r="P29" i="3"/>
  <c r="Q29" i="3"/>
  <c r="M30" i="3"/>
  <c r="N30" i="3"/>
  <c r="O30" i="3"/>
  <c r="K31" i="3"/>
  <c r="L31" i="3"/>
  <c r="P30" i="3"/>
  <c r="K32" i="3"/>
  <c r="M31" i="3"/>
  <c r="N31" i="3"/>
  <c r="O31" i="3"/>
  <c r="Q30" i="3"/>
  <c r="P31" i="3"/>
  <c r="L32" i="3"/>
  <c r="K33" i="3"/>
  <c r="M32" i="3"/>
  <c r="N32" i="3"/>
  <c r="O32" i="3"/>
  <c r="Q31" i="3"/>
  <c r="P32" i="3"/>
  <c r="L33" i="3"/>
  <c r="K34" i="3"/>
  <c r="M33" i="3"/>
  <c r="N33" i="3"/>
  <c r="O33" i="3"/>
  <c r="Q32" i="3"/>
  <c r="L34" i="3"/>
  <c r="P33" i="3"/>
  <c r="Q33" i="3"/>
  <c r="K35" i="3"/>
  <c r="M34" i="3"/>
  <c r="N34" i="3"/>
  <c r="O34" i="3"/>
  <c r="P34" i="3"/>
  <c r="L35" i="3"/>
  <c r="M35" i="3"/>
  <c r="N35" i="3"/>
  <c r="O35" i="3"/>
  <c r="K36" i="3"/>
  <c r="Q34" i="3"/>
  <c r="P35" i="3"/>
  <c r="Q35" i="3"/>
  <c r="L36" i="3"/>
  <c r="M36" i="3"/>
  <c r="K37" i="3"/>
  <c r="N36" i="3"/>
  <c r="O36" i="3"/>
  <c r="P36" i="3"/>
  <c r="Q36" i="3"/>
  <c r="L37" i="3"/>
  <c r="K38" i="3"/>
  <c r="M37" i="3"/>
  <c r="N37" i="3"/>
  <c r="O37" i="3"/>
  <c r="P37" i="3"/>
  <c r="Q37" i="3"/>
  <c r="L38" i="3"/>
  <c r="K39" i="3"/>
  <c r="M38" i="3"/>
  <c r="N38" i="3"/>
  <c r="O38" i="3"/>
  <c r="P38" i="3"/>
  <c r="Q38" i="3"/>
  <c r="L39" i="3"/>
  <c r="K40" i="3"/>
  <c r="M39" i="3"/>
  <c r="N39" i="3"/>
  <c r="O39" i="3"/>
  <c r="P39" i="3"/>
  <c r="L40" i="3"/>
  <c r="Q39" i="3"/>
  <c r="M40" i="3"/>
  <c r="K41" i="3"/>
  <c r="N40" i="3"/>
  <c r="O40" i="3"/>
  <c r="P40" i="3"/>
  <c r="Q40" i="3"/>
  <c r="L41" i="3"/>
  <c r="K42" i="3"/>
  <c r="M41" i="3"/>
  <c r="N41" i="3"/>
  <c r="O41" i="3"/>
  <c r="L42" i="3"/>
  <c r="P41" i="3"/>
  <c r="Q41" i="3"/>
  <c r="K43" i="3"/>
  <c r="M42" i="3"/>
  <c r="N42" i="3"/>
  <c r="O42" i="3"/>
  <c r="L43" i="3"/>
  <c r="P42" i="3"/>
  <c r="Q42" i="3"/>
  <c r="K44" i="3"/>
  <c r="M43" i="3"/>
  <c r="N43" i="3"/>
  <c r="O43" i="3"/>
  <c r="L44" i="3"/>
  <c r="P43" i="3"/>
  <c r="Q43" i="3"/>
  <c r="M44" i="3"/>
  <c r="N44" i="3"/>
  <c r="O44" i="3"/>
  <c r="K45" i="3"/>
  <c r="L45" i="3"/>
  <c r="P44" i="3"/>
  <c r="Q44" i="3"/>
  <c r="M45" i="3"/>
  <c r="N45" i="3"/>
  <c r="O45" i="3"/>
  <c r="K46" i="3"/>
  <c r="P45" i="3"/>
  <c r="L46" i="3"/>
  <c r="K47" i="3"/>
  <c r="K49" i="3"/>
  <c r="E18" i="3"/>
  <c r="M46" i="3"/>
  <c r="Q45" i="3"/>
  <c r="N46" i="3"/>
  <c r="O46" i="3"/>
  <c r="L47" i="3"/>
  <c r="P46" i="3"/>
  <c r="Q46" i="3"/>
  <c r="M47" i="3"/>
  <c r="L49" i="3"/>
  <c r="M49" i="3"/>
  <c r="J16" i="3"/>
  <c r="O17" i="3"/>
  <c r="N47" i="3"/>
  <c r="P47" i="3"/>
  <c r="O18" i="3"/>
  <c r="J17" i="3"/>
  <c r="N49" i="3"/>
  <c r="E16" i="3"/>
  <c r="O47" i="3"/>
  <c r="Q47" i="3"/>
  <c r="E15" i="3"/>
  <c r="J15" i="3"/>
  <c r="J18" i="3"/>
</calcChain>
</file>

<file path=xl/comments1.xml><?xml version="1.0" encoding="utf-8"?>
<comments xmlns="http://schemas.openxmlformats.org/spreadsheetml/2006/main">
  <authors>
    <author>AC_VS</author>
    <author>SCI</author>
  </authors>
  <commentList>
    <comment ref="O3" authorId="0">
      <text>
        <r>
          <rPr>
            <sz val="10"/>
            <color indexed="81"/>
            <rFont val="Tahoma"/>
            <family val="2"/>
          </rPr>
          <t>Effet de la déduction de l'investissement dans la déclaration fiscale. Le gain d'impôt est égal au taux indiqué ici multiplié par l'investissement déduit.</t>
        </r>
      </text>
    </comment>
    <comment ref="O4" authorId="0">
      <text>
        <r>
          <rPr>
            <sz val="10"/>
            <color indexed="81"/>
            <rFont val="Tahoma"/>
            <family val="2"/>
          </rPr>
          <t>le montant économisé grâce à l'effet fiscal est utilisé pour amortir la dette ou alors comme revenu dans le cadre d'un financement par fond propre</t>
        </r>
      </text>
    </comment>
    <comment ref="J5" authorId="0">
      <text>
        <r>
          <rPr>
            <sz val="10"/>
            <color indexed="81"/>
            <rFont val="Tahoma"/>
            <family val="2"/>
          </rPr>
          <t>Financé soit complètement par du cash soit par un mix avec de la dette</t>
        </r>
      </text>
    </comment>
    <comment ref="J8" authorId="0">
      <text>
        <r>
          <rPr>
            <sz val="10"/>
            <color indexed="81"/>
            <rFont val="Tahoma"/>
            <family val="2"/>
          </rPr>
          <t>Taux d'intérêt hypothécaire variable. 
Par exemple BCVs 29.11.11 2.75%</t>
        </r>
      </text>
    </comment>
    <comment ref="U8" authorId="0">
      <text>
        <r>
          <rPr>
            <sz val="10"/>
            <color indexed="81"/>
            <rFont val="Tahoma"/>
            <family val="2"/>
          </rPr>
          <t xml:space="preserve">utilisé uniquement pour l'évolution du taridfachat électricité </t>
        </r>
      </text>
    </comment>
    <comment ref="U9" authorId="0">
      <text>
        <r>
          <rPr>
            <sz val="10"/>
            <color indexed="81"/>
            <rFont val="Tahoma"/>
            <family val="2"/>
          </rPr>
          <t>suite géométrique
1+q+q^2+… + q^n = (1-q^n+1)/(1-q)</t>
        </r>
      </text>
    </comment>
    <comment ref="O11" authorId="1">
      <text>
        <r>
          <rPr>
            <sz val="9"/>
            <color indexed="81"/>
            <rFont val="Tahoma"/>
            <family val="2"/>
          </rPr>
          <t>Pas avant 01.01.2010</t>
        </r>
      </text>
    </comment>
    <comment ref="E18" authorId="0">
      <text>
        <r>
          <rPr>
            <sz val="10"/>
            <color indexed="81"/>
            <rFont val="Tahoma"/>
            <family val="2"/>
          </rPr>
          <t>ne tient pas compte des intérêts de la dette</t>
        </r>
      </text>
    </comment>
    <comment ref="G21" authorId="0">
      <text>
        <r>
          <rPr>
            <sz val="10"/>
            <color indexed="81"/>
            <rFont val="Tahoma"/>
            <family val="2"/>
          </rPr>
          <t>en cas d'autoconsommation</t>
        </r>
      </text>
    </comment>
    <comment ref="J21" authorId="0">
      <text>
        <r>
          <rPr>
            <sz val="10"/>
            <color indexed="81"/>
            <rFont val="Tahoma"/>
            <family val="2"/>
          </rPr>
          <t>les frais occasionels supplémentaires propre à l'offre (p.ex changement d'onduleur) doivent être rentré manuellement dans cette colonne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Joel Fournier</author>
  </authors>
  <commentList>
    <comment ref="J24" authorId="0">
      <text>
        <r>
          <rPr>
            <b/>
            <sz val="9"/>
            <color indexed="81"/>
            <rFont val="Tahoma"/>
            <family val="2"/>
          </rPr>
          <t>Joel Fournier:</t>
        </r>
        <r>
          <rPr>
            <sz val="9"/>
            <color indexed="81"/>
            <rFont val="Tahoma"/>
            <family val="2"/>
          </rPr>
          <t xml:space="preserve">
Interpollé
</t>
        </r>
      </text>
    </comment>
  </commentList>
</comments>
</file>

<file path=xl/comments3.xml><?xml version="1.0" encoding="utf-8"?>
<comments xmlns="http://schemas.openxmlformats.org/spreadsheetml/2006/main">
  <authors>
    <author>AC_VS</author>
    <author>SCI</author>
  </authors>
  <commentList>
    <comment ref="O4" authorId="0">
      <text>
        <r>
          <rPr>
            <sz val="10"/>
            <color indexed="81"/>
            <rFont val="Tahoma"/>
            <family val="2"/>
          </rPr>
          <t>Effet de la déduction de l'investissement dans la déclaration fiscale. Le gain d'impôt est égal au taux indiqué ici multiplié par l'investissement déduit.</t>
        </r>
      </text>
    </comment>
    <comment ref="J6" authorId="0">
      <text>
        <r>
          <rPr>
            <sz val="10"/>
            <color indexed="81"/>
            <rFont val="Tahoma"/>
            <family val="2"/>
          </rPr>
          <t>Financé soit complètement par du cash soit par un mix avec de la dette</t>
        </r>
      </text>
    </comment>
    <comment ref="J9" authorId="0">
      <text>
        <r>
          <rPr>
            <sz val="10"/>
            <color indexed="81"/>
            <rFont val="Tahoma"/>
            <family val="2"/>
          </rPr>
          <t>Taux d'intérêt hypothécaire variable. 
Par exemple BCVs 29.11.11 2.75%</t>
        </r>
      </text>
    </comment>
    <comment ref="T9" authorId="0">
      <text>
        <r>
          <rPr>
            <sz val="10"/>
            <color indexed="81"/>
            <rFont val="Tahoma"/>
            <family val="2"/>
          </rPr>
          <t xml:space="preserve">utilisé uniquement pour l'évolution du taridfachat électricité </t>
        </r>
      </text>
    </comment>
    <comment ref="T10" authorId="0">
      <text>
        <r>
          <rPr>
            <sz val="10"/>
            <color indexed="81"/>
            <rFont val="Tahoma"/>
            <family val="2"/>
          </rPr>
          <t>suite géométrique
1+q+q^2+… + q^n = (1-q^n+1)/(1-q)</t>
        </r>
      </text>
    </comment>
    <comment ref="O12" authorId="1">
      <text>
        <r>
          <rPr>
            <sz val="9"/>
            <color indexed="81"/>
            <rFont val="Tahoma"/>
            <family val="2"/>
          </rPr>
          <t>Pas avant 01.01.2010</t>
        </r>
      </text>
    </comment>
    <comment ref="O18" authorId="0">
      <text>
        <r>
          <rPr>
            <sz val="10"/>
            <color indexed="81"/>
            <rFont val="Tahoma"/>
            <family val="2"/>
          </rPr>
          <t>Effet de la déduction de l'investissement dans la déclaration fiscale. Le gain d'impôt est égal au taux indiqué ici multiplié par l'investissement déduit.</t>
        </r>
      </text>
    </comment>
    <comment ref="J20" authorId="0">
      <text>
        <r>
          <rPr>
            <sz val="10"/>
            <color indexed="81"/>
            <rFont val="Tahoma"/>
            <family val="2"/>
          </rPr>
          <t>Financé soit complètement par du cash soit par un mix avec de la dette</t>
        </r>
      </text>
    </comment>
    <comment ref="J23" authorId="0">
      <text>
        <r>
          <rPr>
            <sz val="10"/>
            <color indexed="81"/>
            <rFont val="Tahoma"/>
            <family val="2"/>
          </rPr>
          <t>Taux d'intérêt hypothécaire variable. 
Par exemple BCVs 29.11.11 2.75%</t>
        </r>
      </text>
    </comment>
    <comment ref="T23" authorId="0">
      <text>
        <r>
          <rPr>
            <sz val="10"/>
            <color indexed="81"/>
            <rFont val="Tahoma"/>
            <family val="2"/>
          </rPr>
          <t xml:space="preserve">utilisé uniquement pour l'évolution du taridfachat électricité </t>
        </r>
      </text>
    </comment>
    <comment ref="T24" authorId="0">
      <text>
        <r>
          <rPr>
            <sz val="10"/>
            <color indexed="81"/>
            <rFont val="Tahoma"/>
            <family val="2"/>
          </rPr>
          <t>suite géométrique
1+q+q^2+… + q^n = (1-q^n+1)/(1-q)</t>
        </r>
      </text>
    </comment>
    <comment ref="O26" authorId="1">
      <text>
        <r>
          <rPr>
            <sz val="9"/>
            <color indexed="81"/>
            <rFont val="Tahoma"/>
            <family val="2"/>
          </rPr>
          <t>Pas avant 01.01.2010</t>
        </r>
      </text>
    </comment>
    <comment ref="O32" authorId="0">
      <text>
        <r>
          <rPr>
            <sz val="10"/>
            <color indexed="81"/>
            <rFont val="Tahoma"/>
            <family val="2"/>
          </rPr>
          <t>Effet de la déduction de l'investissement dans la déclaration fiscale. Le gain d'impôt est égal au taux indiqué ici multiplié par l'investissement déduit.</t>
        </r>
      </text>
    </comment>
    <comment ref="J34" authorId="0">
      <text>
        <r>
          <rPr>
            <sz val="10"/>
            <color indexed="81"/>
            <rFont val="Tahoma"/>
            <family val="2"/>
          </rPr>
          <t>Financé soit complètement par du cash soit par un mix avec de la dette</t>
        </r>
      </text>
    </comment>
    <comment ref="J37" authorId="0">
      <text>
        <r>
          <rPr>
            <sz val="10"/>
            <color indexed="81"/>
            <rFont val="Tahoma"/>
            <family val="2"/>
          </rPr>
          <t>Taux d'intérêt hypothécaire variable. 
Par exemple BCVs 29.11.11 2.75%</t>
        </r>
      </text>
    </comment>
    <comment ref="T37" authorId="0">
      <text>
        <r>
          <rPr>
            <sz val="10"/>
            <color indexed="81"/>
            <rFont val="Tahoma"/>
            <family val="2"/>
          </rPr>
          <t xml:space="preserve">utilisé uniquement pour l'évolution du taridfachat électricité </t>
        </r>
      </text>
    </comment>
    <comment ref="T38" authorId="0">
      <text>
        <r>
          <rPr>
            <sz val="10"/>
            <color indexed="81"/>
            <rFont val="Tahoma"/>
            <family val="2"/>
          </rPr>
          <t>suite géométrique
1+q+q^2+… + q^n = (1-q^n+1)/(1-q)</t>
        </r>
      </text>
    </comment>
    <comment ref="O40" authorId="1">
      <text>
        <r>
          <rPr>
            <sz val="9"/>
            <color indexed="81"/>
            <rFont val="Tahoma"/>
            <family val="2"/>
          </rPr>
          <t>Pas avant 01.01.2010</t>
        </r>
      </text>
    </comment>
  </commentList>
</comments>
</file>

<file path=xl/sharedStrings.xml><?xml version="1.0" encoding="utf-8"?>
<sst xmlns="http://schemas.openxmlformats.org/spreadsheetml/2006/main" count="381" uniqueCount="119">
  <si>
    <t>Année</t>
  </si>
  <si>
    <t>Frais annuels</t>
  </si>
  <si>
    <t>Puissance installée (kWp)</t>
  </si>
  <si>
    <t>Production spécifique (kWh/kWp)</t>
  </si>
  <si>
    <t>Réduction annuelle de production</t>
  </si>
  <si>
    <t>Part de l'électricité produite vendue</t>
  </si>
  <si>
    <t>Cash Flow</t>
  </si>
  <si>
    <t>Intérêt emprunt</t>
  </si>
  <si>
    <t>Production annuelle (kWh)</t>
  </si>
  <si>
    <t>Dette</t>
  </si>
  <si>
    <t>Revenus net</t>
  </si>
  <si>
    <t>VAN 25 ans</t>
  </si>
  <si>
    <t>TRI 25 ans</t>
  </si>
  <si>
    <t>Solde dette</t>
  </si>
  <si>
    <t>Frais occasionel</t>
  </si>
  <si>
    <t>Taux d'intérêt de la dette</t>
  </si>
  <si>
    <t>Effet Fiscal</t>
  </si>
  <si>
    <t>Impôts  sur revenu</t>
  </si>
  <si>
    <t>Effet fiscal considéré</t>
  </si>
  <si>
    <t>Prix de revient sur 25 ans (ct/kWh)</t>
  </si>
  <si>
    <t>Economie sur facture d'électricité</t>
  </si>
  <si>
    <t>Achat/Vente electricité</t>
  </si>
  <si>
    <t>Fonds propres</t>
  </si>
  <si>
    <t>Temps d'attente avant RPC (années)</t>
  </si>
  <si>
    <t>Break-even</t>
  </si>
  <si>
    <t>Remboursement dette</t>
  </si>
  <si>
    <t>Puissance max par m2 (Wp)</t>
  </si>
  <si>
    <t>Rendement attendu sur les fonds propres</t>
  </si>
  <si>
    <t>Tarif de vente électricité RPC (Fr./kWh)</t>
  </si>
  <si>
    <t>Isolée</t>
  </si>
  <si>
    <t>Ajoutée</t>
  </si>
  <si>
    <t>Intégrée</t>
  </si>
  <si>
    <t>Catégorie d'installation</t>
  </si>
  <si>
    <t>A</t>
  </si>
  <si>
    <t>B</t>
  </si>
  <si>
    <t>C</t>
  </si>
  <si>
    <t>D</t>
  </si>
  <si>
    <t>E</t>
  </si>
  <si>
    <t>Catégorie de puissance</t>
  </si>
  <si>
    <t>Type d'installation</t>
  </si>
  <si>
    <t>&lt;=10kW</t>
  </si>
  <si>
    <t>&lt;=30kW</t>
  </si>
  <si>
    <t>&lt;=100kW</t>
  </si>
  <si>
    <t>&lt;=1000kW</t>
  </si>
  <si>
    <t>&gt;1000kW</t>
  </si>
  <si>
    <t>Puissance Installée</t>
  </si>
  <si>
    <t>Résultats</t>
  </si>
  <si>
    <r>
      <t>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de panneaux solaires</t>
    </r>
  </si>
  <si>
    <r>
      <t xml:space="preserve">Taux </t>
    </r>
    <r>
      <rPr>
        <sz val="10"/>
        <rFont val="Tahoma"/>
        <family val="2"/>
      </rPr>
      <t>marginal</t>
    </r>
    <r>
      <rPr>
        <sz val="10"/>
        <color indexed="8"/>
        <rFont val="Tahoma"/>
        <family val="2"/>
      </rPr>
      <t xml:space="preserve"> d'imposition du revenu</t>
    </r>
  </si>
  <si>
    <t>Fiscalité</t>
  </si>
  <si>
    <t>Durée remboursement dette (années)</t>
  </si>
  <si>
    <t>Autoconsommation (kWh/an)</t>
  </si>
  <si>
    <t>Production annuelle initiale (kWh/an)</t>
  </si>
  <si>
    <t>Cout tôtal de l'installation (CHF)</t>
  </si>
  <si>
    <t>Subvention communale (CHF)</t>
  </si>
  <si>
    <t>Coût spécifique installation (CHF/kWp)</t>
  </si>
  <si>
    <t>Durée d'amortissement (années)</t>
  </si>
  <si>
    <t>Taux marginal déduction fiscale</t>
  </si>
  <si>
    <t>Prix de vente (CHF/KWh)</t>
  </si>
  <si>
    <t>Volume production non imposé (kWh)</t>
  </si>
  <si>
    <t>Données Financières</t>
  </si>
  <si>
    <t>Données Techniques</t>
  </si>
  <si>
    <t>Total</t>
  </si>
  <si>
    <t>Résultats financiers avancés</t>
  </si>
  <si>
    <t>Revenus énergie</t>
  </si>
  <si>
    <t>Investissement initial résultant (CHF)</t>
  </si>
  <si>
    <t>Solde fortune</t>
  </si>
  <si>
    <t>Bénéfices sur 25 ans</t>
  </si>
  <si>
    <t>Type installation</t>
  </si>
  <si>
    <t>Puissance</t>
  </si>
  <si>
    <t>Prix de vente RPC</t>
  </si>
  <si>
    <t>Cat. Puissance</t>
  </si>
  <si>
    <t>Frais annuels (assurance, etc.)</t>
  </si>
  <si>
    <t>Croissance annuelle prix électicité</t>
  </si>
  <si>
    <t>Prix électricité moyen 25 ans (achat)</t>
  </si>
  <si>
    <t>Prix électricité après 25 ans (Fr./kWh) (achat)</t>
  </si>
  <si>
    <t>Cout du capital (WACC)</t>
  </si>
  <si>
    <t>Recettes générées sur 25 ans</t>
  </si>
  <si>
    <t>Evaluation économique d'une installation PV (personnes physiques)</t>
  </si>
  <si>
    <t>Rendement annualisé du projet</t>
  </si>
  <si>
    <t>Rendement annuel capitaux propres</t>
  </si>
  <si>
    <t>Breakeven / temps de retour</t>
  </si>
  <si>
    <t>Rétribution unique</t>
  </si>
  <si>
    <t>Base</t>
  </si>
  <si>
    <t>Puissance [CHF/kW]</t>
  </si>
  <si>
    <t>base</t>
  </si>
  <si>
    <t>puissance</t>
  </si>
  <si>
    <t>RU</t>
  </si>
  <si>
    <t>Subvention initiale RU (CHF)</t>
  </si>
  <si>
    <t>Date de mise en service</t>
  </si>
  <si>
    <t>Tarif vente électricité au distributeur (Fr./kWh)</t>
  </si>
  <si>
    <t>Tarif achat électricité au distributeur (Fr./kWh)</t>
  </si>
  <si>
    <t>Catégorie</t>
  </si>
  <si>
    <t>&lt;=2KW</t>
  </si>
  <si>
    <t>Date annonce</t>
  </si>
  <si>
    <t>RPC</t>
  </si>
  <si>
    <t>-</t>
  </si>
  <si>
    <t>Année d'annonce</t>
  </si>
  <si>
    <t>Année annonce</t>
  </si>
  <si>
    <t>Choix</t>
  </si>
  <si>
    <t>Catégorie puissance</t>
  </si>
  <si>
    <t>RPC OU RU</t>
  </si>
  <si>
    <t>Mise en service</t>
  </si>
  <si>
    <t>Annonce</t>
  </si>
  <si>
    <t>Décalage</t>
  </si>
  <si>
    <t>Coûts d'investissements [CHF/kW]</t>
  </si>
  <si>
    <t>[CHF/kW]</t>
  </si>
  <si>
    <t xml:space="preserve">Cout investiss. </t>
  </si>
  <si>
    <t>[CHF]</t>
  </si>
  <si>
    <t>Rétribution Unique</t>
  </si>
  <si>
    <t>Base [CHF]</t>
  </si>
  <si>
    <t>Type d'aide financière</t>
  </si>
  <si>
    <t>Aide financière disponible</t>
  </si>
  <si>
    <t xml:space="preserve">Choisir le type d'aide financière </t>
  </si>
  <si>
    <t>Indice</t>
  </si>
  <si>
    <t>Durée max RPC (nombre d'années)</t>
  </si>
  <si>
    <t>non</t>
  </si>
  <si>
    <t>A supprimer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</si>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</sst>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SFr.&quot;\ #,##0.00;[Red]&quot;SFr.&quot;\ \-#,##0.00"/>
    <numFmt numFmtId="165" formatCode="0.0"/>
    <numFmt numFmtId="166" formatCode="0.0%"/>
    <numFmt numFmtId="167" formatCode="_ * #,##0_ ;_ * \-#,##0_ ;_ * &quot;-&quot;??_ ;_ @_ "/>
    <numFmt numFmtId="168" formatCode="_ * #,##0.0_ ;_ * \-#,##0.0_ ;_ * &quot;-&quot;??_ ;_ @_ "/>
    <numFmt numFmtId="169" formatCode="0.000"/>
    <numFmt numFmtId="170" formatCode="_ * #,##0.0_ ;_ * \-#,##0.0_ ;_ * &quot;-&quot;?_ ;_ @_ "/>
    <numFmt numFmtId="171" formatCode="_ * #,##0.000_ ;_ * \-#,##0.000_ ;_ * &quot;-&quot;??_ ;_ @_ "/>
  </numFmts>
  <fonts count="35" x14ac:knownFonts="1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8"/>
      <color indexed="81"/>
      <name val="Tahoma"/>
      <family val="2"/>
    </font>
    <font>
      <sz val="10"/>
      <color indexed="8"/>
      <name val="Tahoma"/>
      <family val="2"/>
    </font>
    <font>
      <sz val="10"/>
      <color indexed="81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vertAlign val="superscript"/>
      <sz val="10"/>
      <color indexed="8"/>
      <name val="Tahoma"/>
      <family val="2"/>
    </font>
    <font>
      <strike/>
      <sz val="10"/>
      <color indexed="8"/>
      <name val="Tahoma"/>
      <family val="2"/>
    </font>
    <font>
      <b/>
      <sz val="10"/>
      <color indexed="4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14"/>
      <name val="Tahoma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 tint="-0.34998626667073579"/>
      <name val="Tahoma"/>
      <family val="2"/>
    </font>
    <font>
      <b/>
      <sz val="10"/>
      <color theme="0"/>
      <name val="Tahoma"/>
      <family val="2"/>
    </font>
    <font>
      <sz val="12"/>
      <color rgb="FFFF0000"/>
      <name val="Calibri"/>
      <family val="2"/>
    </font>
    <font>
      <sz val="10"/>
      <color theme="0" tint="-0.499984740745262"/>
      <name val="Tahoma"/>
      <family val="2"/>
    </font>
    <font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3" borderId="1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2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5" applyNumberFormat="0" applyAlignment="0" applyProtection="0"/>
  </cellStyleXfs>
  <cellXfs count="235"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/>
    <xf numFmtId="10" fontId="2" fillId="0" borderId="0" xfId="3" applyNumberFormat="1"/>
    <xf numFmtId="0" fontId="11" fillId="0" borderId="0" xfId="0" applyFont="1"/>
    <xf numFmtId="0" fontId="0" fillId="0" borderId="0" xfId="0" applyAlignment="1">
      <alignment wrapText="1"/>
    </xf>
    <xf numFmtId="0" fontId="11" fillId="0" borderId="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 vertical="top" wrapText="1"/>
    </xf>
    <xf numFmtId="1" fontId="17" fillId="0" borderId="0" xfId="0" applyNumberFormat="1" applyFont="1" applyBorder="1" applyAlignment="1">
      <alignment horizontal="right" vertical="top" wrapText="1"/>
    </xf>
    <xf numFmtId="0" fontId="16" fillId="0" borderId="0" xfId="0" applyFont="1" applyBorder="1"/>
    <xf numFmtId="166" fontId="16" fillId="0" borderId="0" xfId="3" applyNumberFormat="1" applyFont="1" applyBorder="1"/>
    <xf numFmtId="0" fontId="16" fillId="0" borderId="0" xfId="0" applyFont="1"/>
    <xf numFmtId="0" fontId="11" fillId="0" borderId="8" xfId="0" applyFont="1" applyBorder="1"/>
    <xf numFmtId="0" fontId="11" fillId="0" borderId="9" xfId="0" applyFont="1" applyBorder="1"/>
    <xf numFmtId="0" fontId="15" fillId="0" borderId="0" xfId="0" applyFont="1" applyBorder="1"/>
    <xf numFmtId="0" fontId="11" fillId="0" borderId="7" xfId="0" applyFont="1" applyFill="1" applyBorder="1"/>
    <xf numFmtId="0" fontId="11" fillId="0" borderId="7" xfId="0" applyFont="1" applyBorder="1"/>
    <xf numFmtId="0" fontId="11" fillId="0" borderId="0" xfId="0" applyFont="1" applyFill="1" applyBorder="1"/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1" xfId="0" applyFont="1" applyBorder="1"/>
    <xf numFmtId="169" fontId="11" fillId="0" borderId="12" xfId="0" applyNumberFormat="1" applyFont="1" applyFill="1" applyBorder="1"/>
    <xf numFmtId="9" fontId="11" fillId="0" borderId="0" xfId="0" applyNumberFormat="1" applyFont="1" applyBorder="1"/>
    <xf numFmtId="0" fontId="11" fillId="0" borderId="10" xfId="0" applyFont="1" applyBorder="1"/>
    <xf numFmtId="2" fontId="11" fillId="0" borderId="12" xfId="0" applyNumberFormat="1" applyFont="1" applyFill="1" applyBorder="1"/>
    <xf numFmtId="169" fontId="11" fillId="0" borderId="0" xfId="0" applyNumberFormat="1" applyFont="1" applyBorder="1"/>
    <xf numFmtId="164" fontId="11" fillId="0" borderId="0" xfId="0" applyNumberFormat="1" applyFont="1" applyFill="1" applyBorder="1"/>
    <xf numFmtId="0" fontId="11" fillId="0" borderId="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right" vertical="top" wrapText="1"/>
    </xf>
    <xf numFmtId="167" fontId="11" fillId="0" borderId="13" xfId="2" applyNumberFormat="1" applyFont="1" applyBorder="1"/>
    <xf numFmtId="167" fontId="11" fillId="0" borderId="0" xfId="2" applyNumberFormat="1" applyFont="1" applyBorder="1"/>
    <xf numFmtId="0" fontId="11" fillId="0" borderId="7" xfId="0" applyFont="1" applyBorder="1" applyAlignment="1">
      <alignment horizontal="right"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14" xfId="0" applyFont="1" applyFill="1" applyBorder="1" applyAlignment="1">
      <alignment horizontal="right" vertical="top" wrapText="1"/>
    </xf>
    <xf numFmtId="167" fontId="11" fillId="0" borderId="12" xfId="2" applyNumberFormat="1" applyFont="1" applyFill="1" applyBorder="1"/>
    <xf numFmtId="0" fontId="11" fillId="0" borderId="12" xfId="0" applyFont="1" applyFill="1" applyBorder="1" applyAlignment="1">
      <alignment horizontal="right" vertical="top" wrapText="1"/>
    </xf>
    <xf numFmtId="10" fontId="15" fillId="0" borderId="7" xfId="3" applyNumberFormat="1" applyFont="1" applyBorder="1" applyAlignment="1">
      <alignment horizontal="right" vertical="top" wrapText="1"/>
    </xf>
    <xf numFmtId="167" fontId="11" fillId="0" borderId="14" xfId="2" applyNumberFormat="1" applyFont="1" applyBorder="1"/>
    <xf numFmtId="171" fontId="11" fillId="0" borderId="14" xfId="2" applyNumberFormat="1" applyFont="1" applyBorder="1"/>
    <xf numFmtId="167" fontId="11" fillId="0" borderId="7" xfId="2" applyNumberFormat="1" applyFont="1" applyBorder="1"/>
    <xf numFmtId="167" fontId="11" fillId="0" borderId="14" xfId="2" applyNumberFormat="1" applyFont="1" applyFill="1" applyBorder="1"/>
    <xf numFmtId="9" fontId="11" fillId="0" borderId="0" xfId="3" applyFont="1" applyBorder="1"/>
    <xf numFmtId="43" fontId="11" fillId="0" borderId="14" xfId="2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16" xfId="0" applyFont="1" applyFill="1" applyBorder="1"/>
    <xf numFmtId="0" fontId="11" fillId="0" borderId="18" xfId="0" applyFont="1" applyFill="1" applyBorder="1"/>
    <xf numFmtId="0" fontId="11" fillId="0" borderId="16" xfId="0" applyFont="1" applyFill="1" applyBorder="1" applyAlignment="1">
      <alignment horizontal="right" vertical="top" wrapText="1"/>
    </xf>
    <xf numFmtId="167" fontId="15" fillId="0" borderId="14" xfId="2" applyNumberFormat="1" applyFont="1" applyFill="1" applyBorder="1"/>
    <xf numFmtId="166" fontId="15" fillId="0" borderId="7" xfId="3" applyNumberFormat="1" applyFont="1" applyBorder="1" applyAlignment="1">
      <alignment horizontal="right" vertical="top" wrapText="1"/>
    </xf>
    <xf numFmtId="166" fontId="11" fillId="0" borderId="0" xfId="3" applyNumberFormat="1" applyFont="1"/>
    <xf numFmtId="0" fontId="13" fillId="0" borderId="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1" fillId="5" borderId="0" xfId="0" applyFont="1" applyFill="1" applyBorder="1"/>
    <xf numFmtId="0" fontId="11" fillId="0" borderId="12" xfId="0" applyFont="1" applyFill="1" applyBorder="1"/>
    <xf numFmtId="0" fontId="14" fillId="0" borderId="12" xfId="0" applyFont="1" applyFill="1" applyBorder="1" applyProtection="1">
      <protection locked="0"/>
    </xf>
    <xf numFmtId="1" fontId="11" fillId="0" borderId="12" xfId="0" applyNumberFormat="1" applyFont="1" applyFill="1" applyBorder="1"/>
    <xf numFmtId="0" fontId="15" fillId="0" borderId="10" xfId="0" applyFont="1" applyBorder="1"/>
    <xf numFmtId="167" fontId="15" fillId="0" borderId="21" xfId="2" applyNumberFormat="1" applyFont="1" applyBorder="1"/>
    <xf numFmtId="167" fontId="15" fillId="0" borderId="11" xfId="2" applyNumberFormat="1" applyFont="1" applyBorder="1"/>
    <xf numFmtId="167" fontId="15" fillId="0" borderId="10" xfId="2" applyNumberFormat="1" applyFont="1" applyBorder="1"/>
    <xf numFmtId="167" fontId="15" fillId="0" borderId="21" xfId="2" applyNumberFormat="1" applyFont="1" applyFill="1" applyBorder="1"/>
    <xf numFmtId="167" fontId="15" fillId="0" borderId="22" xfId="2" applyNumberFormat="1" applyFont="1" applyFill="1" applyBorder="1"/>
    <xf numFmtId="0" fontId="11" fillId="0" borderId="12" xfId="0" applyFont="1" applyFill="1" applyBorder="1" applyAlignment="1">
      <alignment horizontal="right"/>
    </xf>
    <xf numFmtId="9" fontId="11" fillId="0" borderId="23" xfId="3" applyFont="1" applyFill="1" applyBorder="1"/>
    <xf numFmtId="0" fontId="11" fillId="0" borderId="12" xfId="0" applyFont="1" applyBorder="1"/>
    <xf numFmtId="0" fontId="14" fillId="0" borderId="8" xfId="0" applyFont="1" applyFill="1" applyBorder="1"/>
    <xf numFmtId="0" fontId="14" fillId="0" borderId="9" xfId="0" applyFont="1" applyFill="1" applyBorder="1"/>
    <xf numFmtId="0" fontId="14" fillId="0" borderId="23" xfId="0" applyFont="1" applyFill="1" applyBorder="1"/>
    <xf numFmtId="165" fontId="11" fillId="0" borderId="22" xfId="0" applyNumberFormat="1" applyFont="1" applyFill="1" applyBorder="1"/>
    <xf numFmtId="10" fontId="11" fillId="0" borderId="12" xfId="3" applyNumberFormat="1" applyFont="1" applyFill="1" applyBorder="1"/>
    <xf numFmtId="0" fontId="19" fillId="0" borderId="0" xfId="0" applyFont="1" applyFill="1" applyBorder="1"/>
    <xf numFmtId="167" fontId="11" fillId="0" borderId="22" xfId="0" applyNumberFormat="1" applyFont="1" applyFill="1" applyBorder="1"/>
    <xf numFmtId="0" fontId="11" fillId="6" borderId="24" xfId="0" applyFont="1" applyFill="1" applyBorder="1"/>
    <xf numFmtId="0" fontId="11" fillId="6" borderId="0" xfId="0" applyFont="1" applyFill="1" applyBorder="1"/>
    <xf numFmtId="0" fontId="11" fillId="6" borderId="0" xfId="0" quotePrefix="1" applyFont="1" applyFill="1" applyBorder="1"/>
    <xf numFmtId="0" fontId="11" fillId="7" borderId="24" xfId="0" applyFont="1" applyFill="1" applyBorder="1"/>
    <xf numFmtId="0" fontId="11" fillId="7" borderId="0" xfId="0" applyFont="1" applyFill="1" applyBorder="1"/>
    <xf numFmtId="0" fontId="15" fillId="6" borderId="24" xfId="0" applyFont="1" applyFill="1" applyBorder="1"/>
    <xf numFmtId="0" fontId="11" fillId="6" borderId="17" xfId="0" applyFont="1" applyFill="1" applyBorder="1"/>
    <xf numFmtId="0" fontId="11" fillId="6" borderId="25" xfId="0" applyFont="1" applyFill="1" applyBorder="1"/>
    <xf numFmtId="0" fontId="11" fillId="6" borderId="26" xfId="0" applyFont="1" applyFill="1" applyBorder="1"/>
    <xf numFmtId="0" fontId="11" fillId="6" borderId="27" xfId="0" applyFont="1" applyFill="1" applyBorder="1"/>
    <xf numFmtId="0" fontId="11" fillId="6" borderId="28" xfId="0" applyFont="1" applyFill="1" applyBorder="1"/>
    <xf numFmtId="9" fontId="22" fillId="6" borderId="24" xfId="0" applyNumberFormat="1" applyFont="1" applyFill="1" applyBorder="1"/>
    <xf numFmtId="0" fontId="22" fillId="6" borderId="0" xfId="0" applyFont="1" applyFill="1" applyBorder="1"/>
    <xf numFmtId="0" fontId="20" fillId="8" borderId="6" xfId="0" applyFont="1" applyFill="1" applyBorder="1" applyProtection="1">
      <protection locked="0"/>
    </xf>
    <xf numFmtId="166" fontId="20" fillId="8" borderId="6" xfId="3" applyNumberFormat="1" applyFont="1" applyFill="1" applyBorder="1" applyProtection="1">
      <protection locked="0"/>
    </xf>
    <xf numFmtId="10" fontId="20" fillId="8" borderId="6" xfId="3" applyNumberFormat="1" applyFont="1" applyFill="1" applyBorder="1" applyProtection="1">
      <protection locked="0"/>
    </xf>
    <xf numFmtId="0" fontId="11" fillId="7" borderId="25" xfId="0" applyFont="1" applyFill="1" applyBorder="1"/>
    <xf numFmtId="0" fontId="21" fillId="7" borderId="28" xfId="0" applyFont="1" applyFill="1" applyBorder="1"/>
    <xf numFmtId="0" fontId="22" fillId="7" borderId="24" xfId="0" applyFont="1" applyFill="1" applyBorder="1"/>
    <xf numFmtId="0" fontId="11" fillId="7" borderId="26" xfId="0" applyFont="1" applyFill="1" applyBorder="1"/>
    <xf numFmtId="0" fontId="11" fillId="7" borderId="29" xfId="0" applyFont="1" applyFill="1" applyBorder="1"/>
    <xf numFmtId="0" fontId="11" fillId="7" borderId="30" xfId="0" applyFont="1" applyFill="1" applyBorder="1"/>
    <xf numFmtId="0" fontId="21" fillId="7" borderId="24" xfId="0" applyFont="1" applyFill="1" applyBorder="1"/>
    <xf numFmtId="0" fontId="22" fillId="7" borderId="0" xfId="0" applyFont="1" applyFill="1" applyBorder="1"/>
    <xf numFmtId="0" fontId="22" fillId="7" borderId="7" xfId="0" applyFont="1" applyFill="1" applyBorder="1"/>
    <xf numFmtId="10" fontId="16" fillId="0" borderId="0" xfId="3" applyNumberFormat="1" applyFont="1" applyBorder="1" applyAlignment="1">
      <alignment horizontal="right"/>
    </xf>
    <xf numFmtId="2" fontId="16" fillId="0" borderId="0" xfId="0" applyNumberFormat="1" applyFont="1"/>
    <xf numFmtId="1" fontId="14" fillId="0" borderId="12" xfId="0" applyNumberFormat="1" applyFont="1" applyFill="1" applyBorder="1"/>
    <xf numFmtId="167" fontId="0" fillId="0" borderId="0" xfId="0" applyNumberFormat="1"/>
    <xf numFmtId="167" fontId="11" fillId="0" borderId="12" xfId="0" applyNumberFormat="1" applyFont="1" applyFill="1" applyBorder="1"/>
    <xf numFmtId="0" fontId="0" fillId="0" borderId="0" xfId="0" quotePrefix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6" xfId="0" applyBorder="1"/>
    <xf numFmtId="10" fontId="20" fillId="8" borderId="6" xfId="0" applyNumberFormat="1" applyFont="1" applyFill="1" applyBorder="1" applyProtection="1">
      <protection locked="0"/>
    </xf>
    <xf numFmtId="0" fontId="22" fillId="7" borderId="14" xfId="0" applyFont="1" applyFill="1" applyBorder="1"/>
    <xf numFmtId="0" fontId="22" fillId="7" borderId="14" xfId="0" quotePrefix="1" applyFont="1" applyFill="1" applyBorder="1"/>
    <xf numFmtId="0" fontId="22" fillId="7" borderId="28" xfId="0" applyFont="1" applyFill="1" applyBorder="1"/>
    <xf numFmtId="0" fontId="24" fillId="7" borderId="0" xfId="0" applyFont="1" applyFill="1" applyBorder="1"/>
    <xf numFmtId="167" fontId="11" fillId="0" borderId="22" xfId="2" applyNumberFormat="1" applyFont="1" applyFill="1" applyBorder="1"/>
    <xf numFmtId="0" fontId="20" fillId="8" borderId="6" xfId="0" applyFont="1" applyFill="1" applyBorder="1" applyAlignment="1" applyProtection="1">
      <alignment horizontal="right"/>
      <protection locked="0"/>
    </xf>
    <xf numFmtId="167" fontId="11" fillId="0" borderId="12" xfId="2" applyNumberFormat="1" applyFont="1" applyFill="1" applyBorder="1" applyProtection="1"/>
    <xf numFmtId="167" fontId="20" fillId="8" borderId="6" xfId="2" applyNumberFormat="1" applyFont="1" applyFill="1" applyBorder="1" applyProtection="1">
      <protection locked="0"/>
    </xf>
    <xf numFmtId="167" fontId="11" fillId="0" borderId="0" xfId="2" applyNumberFormat="1" applyFont="1"/>
    <xf numFmtId="10" fontId="11" fillId="0" borderId="12" xfId="3" applyNumberFormat="1" applyFont="1" applyFill="1" applyBorder="1" applyAlignment="1">
      <alignment horizontal="right"/>
    </xf>
    <xf numFmtId="0" fontId="11" fillId="0" borderId="8" xfId="0" applyFont="1" applyFill="1" applyBorder="1"/>
    <xf numFmtId="0" fontId="11" fillId="0" borderId="9" xfId="0" applyFont="1" applyFill="1" applyBorder="1"/>
    <xf numFmtId="167" fontId="15" fillId="0" borderId="31" xfId="2" applyNumberFormat="1" applyFont="1" applyBorder="1"/>
    <xf numFmtId="0" fontId="11" fillId="7" borderId="12" xfId="0" applyFont="1" applyFill="1" applyBorder="1"/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2" xfId="0" applyFont="1" applyFill="1" applyBorder="1"/>
    <xf numFmtId="0" fontId="11" fillId="0" borderId="23" xfId="0" applyFont="1" applyBorder="1"/>
    <xf numFmtId="9" fontId="20" fillId="8" borderId="6" xfId="3" applyFont="1" applyFill="1" applyBorder="1" applyProtection="1">
      <protection locked="0"/>
    </xf>
    <xf numFmtId="9" fontId="20" fillId="8" borderId="6" xfId="3" applyFont="1" applyFill="1" applyBorder="1" applyAlignment="1" applyProtection="1">
      <alignment horizontal="right"/>
      <protection locked="0"/>
    </xf>
    <xf numFmtId="9" fontId="20" fillId="8" borderId="21" xfId="3" applyFont="1" applyFill="1" applyBorder="1" applyProtection="1">
      <protection locked="0"/>
    </xf>
    <xf numFmtId="0" fontId="20" fillId="8" borderId="6" xfId="0" applyNumberFormat="1" applyFont="1" applyFill="1" applyBorder="1" applyProtection="1">
      <protection locked="0"/>
    </xf>
    <xf numFmtId="167" fontId="11" fillId="0" borderId="0" xfId="2" applyNumberFormat="1" applyFont="1" applyFill="1" applyBorder="1"/>
    <xf numFmtId="166" fontId="0" fillId="0" borderId="0" xfId="3" applyNumberFormat="1" applyFont="1"/>
    <xf numFmtId="1" fontId="0" fillId="0" borderId="0" xfId="0" applyNumberFormat="1"/>
    <xf numFmtId="168" fontId="0" fillId="0" borderId="0" xfId="0" applyNumberFormat="1"/>
    <xf numFmtId="170" fontId="0" fillId="0" borderId="0" xfId="0" applyNumberFormat="1"/>
    <xf numFmtId="9" fontId="0" fillId="0" borderId="0" xfId="3" applyFont="1"/>
    <xf numFmtId="0" fontId="30" fillId="0" borderId="8" xfId="0" applyFont="1" applyBorder="1" applyProtection="1"/>
    <xf numFmtId="0" fontId="30" fillId="0" borderId="23" xfId="0" applyFont="1" applyBorder="1" applyProtection="1"/>
    <xf numFmtId="0" fontId="30" fillId="0" borderId="7" xfId="0" applyFont="1" applyBorder="1" applyProtection="1"/>
    <xf numFmtId="0" fontId="30" fillId="0" borderId="12" xfId="0" applyFont="1" applyBorder="1" applyProtection="1"/>
    <xf numFmtId="0" fontId="30" fillId="0" borderId="10" xfId="0" applyFont="1" applyBorder="1" applyProtection="1"/>
    <xf numFmtId="0" fontId="30" fillId="0" borderId="22" xfId="0" applyFont="1" applyBorder="1" applyProtection="1"/>
    <xf numFmtId="0" fontId="20" fillId="8" borderId="6" xfId="0" applyFont="1" applyFill="1" applyBorder="1" applyAlignment="1" applyProtection="1">
      <alignment horizontal="center"/>
      <protection locked="0"/>
    </xf>
    <xf numFmtId="0" fontId="31" fillId="7" borderId="0" xfId="0" applyFont="1" applyFill="1" applyBorder="1"/>
    <xf numFmtId="0" fontId="11" fillId="9" borderId="0" xfId="0" applyFont="1" applyFill="1" applyBorder="1"/>
    <xf numFmtId="0" fontId="24" fillId="9" borderId="0" xfId="0" applyFont="1" applyFill="1" applyBorder="1"/>
    <xf numFmtId="0" fontId="23" fillId="9" borderId="0" xfId="0" applyFont="1" applyFill="1" applyBorder="1"/>
    <xf numFmtId="0" fontId="23" fillId="9" borderId="0" xfId="0" applyFont="1" applyFill="1" applyBorder="1" applyAlignment="1"/>
    <xf numFmtId="9" fontId="11" fillId="7" borderId="0" xfId="3" applyFont="1" applyFill="1" applyBorder="1"/>
    <xf numFmtId="14" fontId="22" fillId="7" borderId="0" xfId="0" applyNumberFormat="1" applyFont="1" applyFill="1" applyBorder="1"/>
    <xf numFmtId="14" fontId="0" fillId="0" borderId="0" xfId="0" applyNumberFormat="1" applyAlignment="1">
      <alignment wrapText="1"/>
    </xf>
    <xf numFmtId="0" fontId="0" fillId="10" borderId="0" xfId="0" applyFill="1" applyAlignment="1">
      <alignment wrapText="1"/>
    </xf>
    <xf numFmtId="0" fontId="0" fillId="10" borderId="0" xfId="0" applyFill="1"/>
    <xf numFmtId="0" fontId="0" fillId="0" borderId="0" xfId="0" applyAlignment="1">
      <alignment horizontal="center" textRotation="90" wrapText="1"/>
    </xf>
    <xf numFmtId="0" fontId="0" fillId="10" borderId="0" xfId="0" applyFill="1" applyAlignment="1">
      <alignment horizontal="center"/>
    </xf>
    <xf numFmtId="1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32" fillId="0" borderId="0" xfId="0" applyFont="1" applyFill="1" applyAlignment="1">
      <alignment wrapText="1"/>
    </xf>
    <xf numFmtId="0" fontId="14" fillId="0" borderId="29" xfId="0" applyFont="1" applyBorder="1"/>
    <xf numFmtId="0" fontId="26" fillId="0" borderId="2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0" xfId="0" applyFont="1" applyBorder="1"/>
    <xf numFmtId="0" fontId="14" fillId="0" borderId="30" xfId="0" applyFont="1" applyBorder="1"/>
    <xf numFmtId="14" fontId="26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169" fontId="26" fillId="0" borderId="0" xfId="0" applyNumberFormat="1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33" fillId="0" borderId="30" xfId="0" applyFont="1" applyBorder="1"/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NumberFormat="1" applyFill="1"/>
    <xf numFmtId="0" fontId="14" fillId="0" borderId="25" xfId="0" applyFont="1" applyBorder="1"/>
    <xf numFmtId="0" fontId="33" fillId="0" borderId="26" xfId="0" applyFont="1" applyBorder="1"/>
    <xf numFmtId="0" fontId="14" fillId="0" borderId="26" xfId="0" applyFont="1" applyBorder="1" applyAlignment="1">
      <alignment horizontal="right"/>
    </xf>
    <xf numFmtId="0" fontId="14" fillId="0" borderId="26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32" xfId="0" applyFont="1" applyBorder="1"/>
    <xf numFmtId="0" fontId="0" fillId="11" borderId="0" xfId="0" applyFill="1" applyAlignment="1"/>
    <xf numFmtId="0" fontId="26" fillId="11" borderId="0" xfId="0" applyFont="1" applyFill="1" applyBorder="1" applyAlignment="1">
      <alignment wrapText="1"/>
    </xf>
    <xf numFmtId="0" fontId="26" fillId="0" borderId="0" xfId="0" applyFont="1" applyBorder="1" applyAlignment="1"/>
    <xf numFmtId="0" fontId="14" fillId="11" borderId="0" xfId="0" applyFont="1" applyFill="1" applyBorder="1" applyAlignment="1">
      <alignment horizontal="right"/>
    </xf>
    <xf numFmtId="0" fontId="14" fillId="11" borderId="0" xfId="0" applyFont="1" applyFill="1" applyBorder="1"/>
    <xf numFmtId="0" fontId="0" fillId="11" borderId="0" xfId="0" applyFill="1"/>
    <xf numFmtId="0" fontId="0" fillId="11" borderId="0" xfId="0" applyFill="1" applyAlignment="1">
      <alignment wrapText="1"/>
    </xf>
    <xf numFmtId="0" fontId="0" fillId="7" borderId="0" xfId="0" applyFill="1" applyBorder="1" applyAlignment="1">
      <alignment wrapText="1"/>
    </xf>
    <xf numFmtId="0" fontId="11" fillId="11" borderId="29" xfId="0" applyFont="1" applyFill="1" applyBorder="1"/>
    <xf numFmtId="0" fontId="11" fillId="11" borderId="30" xfId="0" applyFont="1" applyFill="1" applyBorder="1"/>
    <xf numFmtId="0" fontId="11" fillId="11" borderId="32" xfId="0" applyFont="1" applyFill="1" applyBorder="1"/>
    <xf numFmtId="166" fontId="20" fillId="8" borderId="19" xfId="0" applyNumberFormat="1" applyFont="1" applyFill="1" applyBorder="1" applyProtection="1">
      <protection locked="0"/>
    </xf>
    <xf numFmtId="166" fontId="11" fillId="0" borderId="0" xfId="3" applyNumberFormat="1" applyFont="1" applyFill="1" applyBorder="1"/>
    <xf numFmtId="167" fontId="11" fillId="0" borderId="0" xfId="0" applyNumberFormat="1" applyFont="1" applyFill="1" applyBorder="1"/>
    <xf numFmtId="166" fontId="11" fillId="0" borderId="11" xfId="3" applyNumberFormat="1" applyFont="1" applyFill="1" applyBorder="1"/>
    <xf numFmtId="0" fontId="20" fillId="7" borderId="0" xfId="0" applyFont="1" applyFill="1" applyBorder="1"/>
    <xf numFmtId="0" fontId="0" fillId="0" borderId="0" xfId="0" applyFill="1"/>
    <xf numFmtId="0" fontId="14" fillId="0" borderId="0" xfId="0" applyFont="1" applyFill="1" applyBorder="1"/>
    <xf numFmtId="14" fontId="0" fillId="0" borderId="0" xfId="0" applyNumberFormat="1" applyFill="1" applyAlignment="1">
      <alignment wrapText="1"/>
    </xf>
    <xf numFmtId="14" fontId="27" fillId="0" borderId="0" xfId="0" applyNumberFormat="1" applyFont="1" applyAlignment="1">
      <alignment wrapText="1"/>
    </xf>
    <xf numFmtId="14" fontId="20" fillId="8" borderId="6" xfId="0" applyNumberFormat="1" applyFont="1" applyFill="1" applyBorder="1" applyProtection="1">
      <protection locked="0"/>
    </xf>
    <xf numFmtId="9" fontId="11" fillId="7" borderId="0" xfId="3" applyFont="1" applyFill="1" applyBorder="1" applyAlignment="1">
      <alignment horizontal="left"/>
    </xf>
    <xf numFmtId="0" fontId="0" fillId="0" borderId="0" xfId="0" applyAlignment="1"/>
    <xf numFmtId="14" fontId="0" fillId="0" borderId="0" xfId="0" applyNumberFormat="1" applyFill="1"/>
    <xf numFmtId="0" fontId="11" fillId="0" borderId="0" xfId="0" applyFont="1" applyFill="1"/>
    <xf numFmtId="0" fontId="1" fillId="0" borderId="0" xfId="0" applyFont="1"/>
    <xf numFmtId="9" fontId="20" fillId="8" borderId="6" xfId="3" applyNumberFormat="1" applyFont="1" applyFill="1" applyBorder="1" applyProtection="1">
      <protection locked="0"/>
    </xf>
    <xf numFmtId="9" fontId="11" fillId="0" borderId="12" xfId="3" applyFont="1" applyFill="1" applyBorder="1" applyAlignment="1">
      <alignment horizontal="right"/>
    </xf>
    <xf numFmtId="1" fontId="11" fillId="0" borderId="22" xfId="0" applyNumberFormat="1" applyFont="1" applyFill="1" applyBorder="1"/>
    <xf numFmtId="2" fontId="11" fillId="12" borderId="12" xfId="0" applyNumberFormat="1" applyFont="1" applyFill="1" applyBorder="1"/>
    <xf numFmtId="0" fontId="11" fillId="12" borderId="0" xfId="0" applyFont="1" applyFill="1" applyBorder="1"/>
    <xf numFmtId="0" fontId="11" fillId="7" borderId="27" xfId="0" applyFont="1" applyFill="1" applyBorder="1"/>
    <xf numFmtId="0" fontId="11" fillId="7" borderId="17" xfId="0" applyFont="1" applyFill="1" applyBorder="1"/>
    <xf numFmtId="0" fontId="20" fillId="7" borderId="17" xfId="0" applyFont="1" applyFill="1" applyBorder="1"/>
    <xf numFmtId="10" fontId="20" fillId="7" borderId="17" xfId="0" applyNumberFormat="1" applyFont="1" applyFill="1" applyBorder="1" applyProtection="1">
      <protection locked="0"/>
    </xf>
    <xf numFmtId="0" fontId="22" fillId="7" borderId="17" xfId="0" applyFont="1" applyFill="1" applyBorder="1"/>
    <xf numFmtId="0" fontId="11" fillId="7" borderId="32" xfId="0" applyFont="1" applyFill="1" applyBorder="1"/>
    <xf numFmtId="1" fontId="0" fillId="0" borderId="0" xfId="0" applyNumberFormat="1" applyFill="1"/>
    <xf numFmtId="0" fontId="14" fillId="0" borderId="12" xfId="0" applyFont="1" applyFill="1" applyBorder="1" applyProtection="1"/>
    <xf numFmtId="10" fontId="20" fillId="7" borderId="0" xfId="0" applyNumberFormat="1" applyFont="1" applyFill="1" applyBorder="1" applyProtection="1"/>
    <xf numFmtId="14" fontId="0" fillId="0" borderId="0" xfId="0" applyNumberFormat="1"/>
    <xf numFmtId="14" fontId="27" fillId="0" borderId="0" xfId="0" applyNumberFormat="1" applyFont="1"/>
    <xf numFmtId="0" fontId="25" fillId="0" borderId="17" xfId="0" applyFont="1" applyFill="1" applyBorder="1" applyAlignment="1">
      <alignment horizontal="center" vertical="center"/>
    </xf>
    <xf numFmtId="0" fontId="26" fillId="7" borderId="25" xfId="0" applyFont="1" applyFill="1" applyBorder="1" applyAlignment="1">
      <alignment horizontal="center" wrapText="1"/>
    </xf>
    <xf numFmtId="0" fontId="26" fillId="7" borderId="24" xfId="0" applyFont="1" applyFill="1" applyBorder="1" applyAlignment="1">
      <alignment horizontal="center" wrapText="1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</cellXfs>
  <cellStyles count="11">
    <cellStyle name="Commentaire" xfId="1"/>
    <cellStyle name="Milliers" xfId="2" builtinId="3"/>
    <cellStyle name="Normal" xfId="0" builtinId="0"/>
    <cellStyle name="Pourcentage" xfId="3" builtinId="5"/>
    <cellStyle name="Satisfaisant" xfId="4"/>
    <cellStyle name="Titre" xfId="5"/>
    <cellStyle name="Titre 1" xfId="6"/>
    <cellStyle name="Titre 2" xfId="7"/>
    <cellStyle name="Titre 3" xfId="8"/>
    <cellStyle name="Titre 4" xfId="9"/>
    <cellStyle name="Vérification" xfId="10"/>
  </cellStyles>
  <dxfs count="33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fr-CH"/>
              <a:t>Evolution de la balance (kCHF)</a:t>
            </a:r>
          </a:p>
        </c:rich>
      </c:tx>
      <c:layout>
        <c:manualLayout>
          <c:xMode val="edge"/>
          <c:yMode val="edge"/>
          <c:x val="0.2253092900424484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584507572903E-2"/>
          <c:y val="8.2142857142857142E-2"/>
          <c:w val="0.84568156129907313"/>
          <c:h val="0.785714285714285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'Version avancée'!$O$21</c:f>
              <c:strCache>
                <c:ptCount val="1"/>
                <c:pt idx="0">
                  <c:v>Solde dette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'Version avancée'!$B$22:$B$47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'Version avancée'!$O$22:$O$47</c:f>
              <c:numCache>
                <c:formatCode>_ * #\,##0_ ;_ * \-#\,##0_ ;_ * "-"??_ ;_ @_ 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0"/>
          <c:order val="1"/>
          <c:tx>
            <c:strRef>
              <c:f>'Version avancée'!$P$21</c:f>
              <c:strCache>
                <c:ptCount val="1"/>
                <c:pt idx="0">
                  <c:v>Solde fortune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'Version avancée'!$B$22:$B$47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'Version avancée'!$P$22:$P$47</c:f>
              <c:numCache>
                <c:formatCode>_ * #\,##0_ ;_ * \-#\,##0_ ;_ * "-"??_ ;_ @_ </c:formatCode>
                <c:ptCount val="26"/>
                <c:pt idx="0">
                  <c:v>-13500</c:v>
                </c:pt>
                <c:pt idx="1">
                  <c:v>-10863</c:v>
                </c:pt>
                <c:pt idx="2">
                  <c:v>-10246.1088</c:v>
                </c:pt>
                <c:pt idx="3">
                  <c:v>-9624.2373900000002</c:v>
                </c:pt>
                <c:pt idx="4">
                  <c:v>-8997.2966565000006</c:v>
                </c:pt>
                <c:pt idx="5">
                  <c:v>-8365.1974329562509</c:v>
                </c:pt>
                <c:pt idx="6">
                  <c:v>-7727.8505528250007</c:v>
                </c:pt>
                <c:pt idx="7">
                  <c:v>-7085.1669052915904</c:v>
                </c:pt>
                <c:pt idx="8">
                  <c:v>-6437.0574937859947</c:v>
                </c:pt>
                <c:pt idx="9">
                  <c:v>-5783.4334973893119</c:v>
                </c:pt>
                <c:pt idx="10">
                  <c:v>-5124.2063352391788</c:v>
                </c:pt>
                <c:pt idx="11">
                  <c:v>-4459.2877340456707</c:v>
                </c:pt>
                <c:pt idx="12">
                  <c:v>-3788.5897988329625</c:v>
                </c:pt>
                <c:pt idx="13">
                  <c:v>-3112.0250870258401</c:v>
                </c:pt>
                <c:pt idx="14">
                  <c:v>-2429.5066860040911</c:v>
                </c:pt>
                <c:pt idx="15">
                  <c:v>-1740.9482942518634</c:v>
                </c:pt>
                <c:pt idx="16">
                  <c:v>-1046.2643062332718</c:v>
                </c:pt>
                <c:pt idx="17">
                  <c:v>-345.36990112984324</c:v>
                </c:pt>
                <c:pt idx="18">
                  <c:v>361.81886442015241</c:v>
                </c:pt>
                <c:pt idx="19">
                  <c:v>1075.3849594358539</c:v>
                </c:pt>
                <c:pt idx="20">
                  <c:v>1795.4102774120781</c:v>
                </c:pt>
                <c:pt idx="21">
                  <c:v>2521.9755306874658</c:v>
                </c:pt>
                <c:pt idx="22">
                  <c:v>3255.1601402032406</c:v>
                </c:pt>
                <c:pt idx="23">
                  <c:v>3995.0421204881245</c:v>
                </c:pt>
                <c:pt idx="24">
                  <c:v>4741.6979596996252</c:v>
                </c:pt>
                <c:pt idx="25">
                  <c:v>5495.2024945463963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7388288"/>
        <c:axId val="116308608"/>
      </c:barChart>
      <c:catAx>
        <c:axId val="107388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163086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630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0" sourceLinked="0"/>
        <c:majorTickMark val="out"/>
        <c:minorTickMark val="none"/>
        <c:tickLblPos val="high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07388288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27225300541137"/>
          <c:y val="0.91607142857142854"/>
          <c:w val="0.67901428988043167"/>
          <c:h val="7.85714285714286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19</xdr:row>
      <xdr:rowOff>152400</xdr:rowOff>
    </xdr:from>
    <xdr:to>
      <xdr:col>21</xdr:col>
      <xdr:colOff>152400</xdr:colOff>
      <xdr:row>50</xdr:row>
      <xdr:rowOff>190500</xdr:rowOff>
    </xdr:to>
    <xdr:graphicFrame macro="">
      <xdr:nvGraphicFramePr>
        <xdr:cNvPr id="3773" name="Graphique 2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495300</xdr:colOff>
      <xdr:row>1</xdr:row>
      <xdr:rowOff>0</xdr:rowOff>
    </xdr:to>
    <xdr:pic>
      <xdr:nvPicPr>
        <xdr:cNvPr id="3774" name="Picture 385" descr="logo_valais_O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78" b="23438"/>
        <a:stretch>
          <a:fillRect/>
        </a:stretch>
      </xdr:blipFill>
      <xdr:spPr bwMode="auto">
        <a:xfrm>
          <a:off x="38100" y="9525"/>
          <a:ext cx="10668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495300</xdr:colOff>
      <xdr:row>0</xdr:row>
      <xdr:rowOff>123825</xdr:rowOff>
    </xdr:from>
    <xdr:ext cx="2538900" cy="272510"/>
    <xdr:sp macro="" textlink="">
      <xdr:nvSpPr>
        <xdr:cNvPr id="3458" name="Text Box 386"/>
        <xdr:cNvSpPr txBox="1">
          <a:spLocks noChangeArrowheads="1"/>
        </xdr:cNvSpPr>
      </xdr:nvSpPr>
      <xdr:spPr bwMode="auto">
        <a:xfrm>
          <a:off x="1100418" y="123825"/>
          <a:ext cx="2538900" cy="27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Département de l'économie, de l'énergie et du territoire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Service de l'énergie et des forces hydrauliques</a:t>
          </a:r>
          <a:endParaRPr lang="fr-CH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1057275</xdr:colOff>
          <xdr:row>19</xdr:row>
          <xdr:rowOff>9525</xdr:rowOff>
        </xdr:from>
        <xdr:to>
          <xdr:col>24</xdr:col>
          <xdr:colOff>276225</xdr:colOff>
          <xdr:row>20</xdr:row>
          <xdr:rowOff>342900</xdr:rowOff>
        </xdr:to>
        <xdr:sp macro="" textlink="">
          <xdr:nvSpPr>
            <xdr:cNvPr id="3716" name="Button 644" hidden="1">
              <a:extLst>
                <a:ext uri="{63B3BB69-23CF-44E3-9099-C40C66FF867C}">
                  <a14:compatExt spid="_x0000_s3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200" b="0" i="0" u="none" strike="noStrike" baseline="0">
                  <a:solidFill>
                    <a:srgbClr val="000000"/>
                  </a:solidFill>
                  <a:latin typeface="Calibri"/>
                </a:rPr>
                <a:t>Exemple 6 kW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1057275</xdr:colOff>
          <xdr:row>21</xdr:row>
          <xdr:rowOff>76200</xdr:rowOff>
        </xdr:from>
        <xdr:to>
          <xdr:col>24</xdr:col>
          <xdr:colOff>276225</xdr:colOff>
          <xdr:row>23</xdr:row>
          <xdr:rowOff>152400</xdr:rowOff>
        </xdr:to>
        <xdr:sp macro="" textlink="">
          <xdr:nvSpPr>
            <xdr:cNvPr id="3734" name="Button 662" hidden="1">
              <a:extLst>
                <a:ext uri="{63B3BB69-23CF-44E3-9099-C40C66FF867C}">
                  <a14:compatExt spid="_x0000_s3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200" b="0" i="0" u="none" strike="noStrike" baseline="0">
                  <a:solidFill>
                    <a:srgbClr val="000000"/>
                  </a:solidFill>
                  <a:latin typeface="Calibri"/>
                </a:rPr>
                <a:t>Exemple 20 kW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1066800</xdr:colOff>
          <xdr:row>25</xdr:row>
          <xdr:rowOff>19050</xdr:rowOff>
        </xdr:from>
        <xdr:to>
          <xdr:col>24</xdr:col>
          <xdr:colOff>285750</xdr:colOff>
          <xdr:row>27</xdr:row>
          <xdr:rowOff>104775</xdr:rowOff>
        </xdr:to>
        <xdr:sp macro="" textlink="">
          <xdr:nvSpPr>
            <xdr:cNvPr id="3735" name="Button 663" hidden="1">
              <a:extLst>
                <a:ext uri="{63B3BB69-23CF-44E3-9099-C40C66FF867C}">
                  <a14:compatExt spid="_x0000_s3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200" b="0" i="0" u="none" strike="noStrike" baseline="0">
                  <a:solidFill>
                    <a:srgbClr val="000000"/>
                  </a:solidFill>
                  <a:latin typeface="Calibri"/>
                </a:rPr>
                <a:t>Exemple 50 kW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638175</xdr:colOff>
      <xdr:row>10</xdr:row>
      <xdr:rowOff>133350</xdr:rowOff>
    </xdr:from>
    <xdr:to>
      <xdr:col>18</xdr:col>
      <xdr:colOff>409575</xdr:colOff>
      <xdr:row>30</xdr:row>
      <xdr:rowOff>142875</xdr:rowOff>
    </xdr:to>
    <xdr:pic>
      <xdr:nvPicPr>
        <xdr:cNvPr id="9221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2133600"/>
          <a:ext cx="6477000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AC126"/>
  <sheetViews>
    <sheetView showGridLines="0" tabSelected="1" zoomScale="85" zoomScaleNormal="85" workbookViewId="0">
      <selection activeCell="J3" sqref="J3"/>
    </sheetView>
  </sheetViews>
  <sheetFormatPr baseColWidth="10" defaultRowHeight="15.75" x14ac:dyDescent="0.25"/>
  <cols>
    <col min="1" max="1" width="0.75" customWidth="1"/>
    <col min="2" max="2" width="7.25" customWidth="1"/>
    <col min="3" max="3" width="10" customWidth="1"/>
    <col min="4" max="4" width="12" customWidth="1"/>
    <col min="5" max="5" width="10.125" customWidth="1"/>
    <col min="6" max="6" width="9.125" customWidth="1"/>
    <col min="7" max="7" width="9.875" customWidth="1"/>
    <col min="8" max="8" width="7.375" customWidth="1"/>
    <col min="10" max="10" width="10" customWidth="1"/>
    <col min="11" max="11" width="8.125" customWidth="1"/>
    <col min="12" max="12" width="8.75" customWidth="1"/>
    <col min="13" max="13" width="9.875" customWidth="1"/>
    <col min="14" max="14" width="11.625" customWidth="1"/>
    <col min="15" max="15" width="10.375" customWidth="1"/>
    <col min="16" max="16" width="8.25" customWidth="1"/>
    <col min="17" max="17" width="8" hidden="1" customWidth="1"/>
    <col min="18" max="18" width="9.75" customWidth="1"/>
    <col min="19" max="19" width="14.125" customWidth="1"/>
    <col min="20" max="20" width="9.25" customWidth="1"/>
    <col min="21" max="21" width="7.625" customWidth="1"/>
    <col min="22" max="22" width="0.75" customWidth="1"/>
    <col min="23" max="23" width="15.25" customWidth="1"/>
    <col min="24" max="24" width="14.625" customWidth="1"/>
  </cols>
  <sheetData>
    <row r="1" spans="1:29" ht="42.75" customHeight="1" thickBot="1" x14ac:dyDescent="0.3">
      <c r="A1" s="230" t="s">
        <v>78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9" s="4" customFormat="1" ht="12.75" x14ac:dyDescent="0.2">
      <c r="A2" s="97"/>
      <c r="B2" s="98" t="s">
        <v>61</v>
      </c>
      <c r="C2" s="99"/>
      <c r="D2" s="99"/>
      <c r="E2" s="99"/>
      <c r="F2" s="84"/>
      <c r="G2" s="103" t="s">
        <v>60</v>
      </c>
      <c r="H2" s="99"/>
      <c r="I2" s="99"/>
      <c r="J2" s="99"/>
      <c r="K2" s="99"/>
      <c r="L2" s="98" t="s">
        <v>49</v>
      </c>
      <c r="M2" s="118"/>
      <c r="N2" s="118"/>
      <c r="O2" s="118"/>
      <c r="P2" s="84"/>
      <c r="R2" s="103" t="s">
        <v>21</v>
      </c>
      <c r="S2" s="99"/>
      <c r="T2" s="99"/>
      <c r="U2" s="99"/>
      <c r="V2" s="101"/>
      <c r="X2" s="144" t="s">
        <v>82</v>
      </c>
      <c r="Y2" s="145"/>
    </row>
    <row r="3" spans="1:29" s="4" customFormat="1" ht="14.25" x14ac:dyDescent="0.2">
      <c r="A3" s="100"/>
      <c r="B3" s="14" t="s">
        <v>47</v>
      </c>
      <c r="C3" s="15"/>
      <c r="D3" s="15"/>
      <c r="E3" s="94">
        <v>40</v>
      </c>
      <c r="F3" s="85"/>
      <c r="G3" s="14" t="s">
        <v>53</v>
      </c>
      <c r="H3" s="15"/>
      <c r="I3" s="15"/>
      <c r="J3" s="94">
        <v>20000</v>
      </c>
      <c r="K3" s="116"/>
      <c r="L3" s="61" t="s">
        <v>57</v>
      </c>
      <c r="M3" s="61"/>
      <c r="N3" s="61"/>
      <c r="O3" s="136">
        <v>0.15</v>
      </c>
      <c r="P3" s="85"/>
      <c r="R3" s="126" t="s">
        <v>51</v>
      </c>
      <c r="S3" s="15"/>
      <c r="T3" s="133"/>
      <c r="U3" s="94">
        <v>2300</v>
      </c>
      <c r="V3" s="102"/>
      <c r="X3" s="146"/>
      <c r="Y3" s="147"/>
    </row>
    <row r="4" spans="1:29" s="4" customFormat="1" ht="12.75" x14ac:dyDescent="0.2">
      <c r="A4" s="100"/>
      <c r="B4" s="18" t="s">
        <v>39</v>
      </c>
      <c r="C4" s="16"/>
      <c r="D4" s="6"/>
      <c r="E4" s="121" t="s">
        <v>30</v>
      </c>
      <c r="F4" s="85"/>
      <c r="G4" s="18" t="s">
        <v>54</v>
      </c>
      <c r="H4" s="6"/>
      <c r="I4" s="6"/>
      <c r="J4" s="94">
        <v>0</v>
      </c>
      <c r="K4" s="116"/>
      <c r="L4" s="61" t="s">
        <v>18</v>
      </c>
      <c r="M4" s="61"/>
      <c r="N4" s="61"/>
      <c r="O4" s="135" t="s">
        <v>118</v>
      </c>
      <c r="P4" s="85"/>
      <c r="R4" s="18" t="s">
        <v>5</v>
      </c>
      <c r="S4" s="6"/>
      <c r="T4" s="6"/>
      <c r="U4" s="72">
        <f>1-U3/production_annuelle</f>
        <v>0.65151515151515149</v>
      </c>
      <c r="V4" s="102"/>
      <c r="X4" s="146" t="s">
        <v>85</v>
      </c>
      <c r="Y4" s="147">
        <f>ru_base</f>
        <v>1400</v>
      </c>
    </row>
    <row r="5" spans="1:29" s="4" customFormat="1" ht="12.75" x14ac:dyDescent="0.2">
      <c r="A5" s="100"/>
      <c r="B5" s="20" t="s">
        <v>2</v>
      </c>
      <c r="C5" s="21"/>
      <c r="D5" s="6"/>
      <c r="E5" s="94">
        <v>6</v>
      </c>
      <c r="F5" s="85"/>
      <c r="G5" s="18" t="s">
        <v>65</v>
      </c>
      <c r="H5" s="6"/>
      <c r="I5" s="6"/>
      <c r="J5" s="226">
        <f>cout_total-subvention_communale-subvention_init_avancee</f>
        <v>13500</v>
      </c>
      <c r="K5" s="117"/>
      <c r="L5" s="19" t="s">
        <v>48</v>
      </c>
      <c r="M5" s="19"/>
      <c r="N5" s="19"/>
      <c r="O5" s="134">
        <v>0.2</v>
      </c>
      <c r="P5" s="85"/>
      <c r="R5" s="18" t="s">
        <v>28</v>
      </c>
      <c r="S5" s="6"/>
      <c r="T5" s="6"/>
      <c r="U5" s="28">
        <f>rpc_version_avancee</f>
        <v>0.26400000000000001</v>
      </c>
      <c r="V5" s="102"/>
      <c r="X5" s="148" t="s">
        <v>86</v>
      </c>
      <c r="Y5" s="149">
        <f>ru_puissance</f>
        <v>850</v>
      </c>
    </row>
    <row r="6" spans="1:29" s="4" customFormat="1" ht="12.75" x14ac:dyDescent="0.2">
      <c r="A6" s="100"/>
      <c r="B6" s="18" t="s">
        <v>26</v>
      </c>
      <c r="C6" s="6"/>
      <c r="D6" s="6"/>
      <c r="E6" s="108">
        <f>puissance_installee/E3*1000</f>
        <v>150</v>
      </c>
      <c r="F6" s="85"/>
      <c r="G6" s="18" t="s">
        <v>22</v>
      </c>
      <c r="H6" s="6"/>
      <c r="I6" s="19">
        <f>inv_initial*J6</f>
        <v>13500</v>
      </c>
      <c r="J6" s="214">
        <v>1</v>
      </c>
      <c r="K6" s="116"/>
      <c r="L6" s="22" t="s">
        <v>59</v>
      </c>
      <c r="M6" s="23"/>
      <c r="N6" s="23"/>
      <c r="O6" s="120">
        <v>10000</v>
      </c>
      <c r="P6" s="85"/>
      <c r="R6" s="18" t="s">
        <v>90</v>
      </c>
      <c r="S6" s="6"/>
      <c r="T6" s="6"/>
      <c r="U6" s="94">
        <v>0.06</v>
      </c>
      <c r="V6" s="102"/>
    </row>
    <row r="7" spans="1:29" s="4" customFormat="1" ht="12.75" x14ac:dyDescent="0.2">
      <c r="A7" s="100"/>
      <c r="B7" s="18" t="s">
        <v>38</v>
      </c>
      <c r="C7" s="6"/>
      <c r="D7" s="6"/>
      <c r="E7" s="71" t="str">
        <f>IF(puissance_installee&lt;=2,0,IF(puissance_installee&lt;=10,"A",IF(puissance_installee&lt;=30,"B",IF(puissance_installee&lt;=100,"C",IF(puissance_installee&lt;=1000,"D","E")))))</f>
        <v>A</v>
      </c>
      <c r="F7" s="85"/>
      <c r="G7" s="18" t="s">
        <v>9</v>
      </c>
      <c r="H7" s="6"/>
      <c r="I7" s="19">
        <f>inv_initial-fond_propre</f>
        <v>0</v>
      </c>
      <c r="J7" s="215">
        <f>1-J6</f>
        <v>0</v>
      </c>
      <c r="K7" s="105"/>
      <c r="L7" s="151" t="s">
        <v>111</v>
      </c>
      <c r="M7" s="85"/>
      <c r="N7" s="119"/>
      <c r="O7" s="85"/>
      <c r="P7" s="85"/>
      <c r="R7" s="17" t="s">
        <v>91</v>
      </c>
      <c r="S7" s="6"/>
      <c r="T7" s="6"/>
      <c r="U7" s="94">
        <v>0.18</v>
      </c>
      <c r="V7" s="102"/>
    </row>
    <row r="8" spans="1:29" s="4" customFormat="1" ht="12.75" x14ac:dyDescent="0.2">
      <c r="A8" s="100"/>
      <c r="B8" s="20" t="s">
        <v>3</v>
      </c>
      <c r="C8" s="21"/>
      <c r="D8" s="6"/>
      <c r="E8" s="94">
        <v>1100</v>
      </c>
      <c r="F8" s="85"/>
      <c r="G8" s="17" t="s">
        <v>15</v>
      </c>
      <c r="H8" s="19"/>
      <c r="I8" s="73"/>
      <c r="J8" s="96">
        <v>2.75E-2</v>
      </c>
      <c r="K8" s="105"/>
      <c r="L8" s="4" t="s">
        <v>112</v>
      </c>
      <c r="O8" s="4" t="str">
        <f>mode_subvention_dispo</f>
        <v>RU</v>
      </c>
      <c r="P8" s="85"/>
      <c r="R8" s="17" t="s">
        <v>73</v>
      </c>
      <c r="S8" s="6"/>
      <c r="T8" s="6"/>
      <c r="U8" s="115">
        <v>2.5000000000000001E-2</v>
      </c>
      <c r="V8" s="102"/>
    </row>
    <row r="9" spans="1:29" s="4" customFormat="1" ht="15.75" customHeight="1" x14ac:dyDescent="0.2">
      <c r="A9" s="100"/>
      <c r="B9" s="20" t="s">
        <v>4</v>
      </c>
      <c r="C9" s="21"/>
      <c r="D9" s="6"/>
      <c r="E9" s="95">
        <v>8.0000000000000002E-3</v>
      </c>
      <c r="F9" s="85"/>
      <c r="G9" s="18" t="s">
        <v>55</v>
      </c>
      <c r="H9" s="6"/>
      <c r="I9" s="6"/>
      <c r="J9" s="64">
        <f>cout_total/puissance_installee</f>
        <v>3333.3333333333335</v>
      </c>
      <c r="K9" s="105"/>
      <c r="L9" s="152" t="s">
        <v>113</v>
      </c>
      <c r="M9" s="152"/>
      <c r="N9" s="153"/>
      <c r="O9" s="150" t="s">
        <v>87</v>
      </c>
      <c r="P9" s="85"/>
      <c r="R9" s="18" t="s">
        <v>74</v>
      </c>
      <c r="S9" s="6"/>
      <c r="T9" s="6"/>
      <c r="U9" s="25">
        <f>tarif_achat_elec_distributeur*(1-(1+croissance_prix_elec)^26)/(1-(1+croissance_prix_elec))/26</f>
        <v>0.24931182483144282</v>
      </c>
      <c r="V9" s="102"/>
    </row>
    <row r="10" spans="1:29" s="4" customFormat="1" ht="15.75" customHeight="1" x14ac:dyDescent="0.2">
      <c r="A10" s="100"/>
      <c r="B10" s="130" t="s">
        <v>52</v>
      </c>
      <c r="C10" s="131"/>
      <c r="D10" s="24"/>
      <c r="E10" s="132">
        <f>production_specifique*puissance_installee</f>
        <v>6600</v>
      </c>
      <c r="F10" s="85"/>
      <c r="G10" s="18" t="s">
        <v>56</v>
      </c>
      <c r="H10" s="6"/>
      <c r="I10" s="6"/>
      <c r="J10" s="122">
        <v>25</v>
      </c>
      <c r="K10" s="105"/>
      <c r="L10" s="4" t="s">
        <v>97</v>
      </c>
      <c r="O10" s="94">
        <v>2014</v>
      </c>
      <c r="P10" s="85"/>
      <c r="R10" s="17" t="s">
        <v>75</v>
      </c>
      <c r="S10" s="6"/>
      <c r="T10" s="6"/>
      <c r="U10" s="28">
        <f>tarif_achat_elec_distributeur*(1+croissance_prix_elec)^(25-1)</f>
        <v>0.32557067092486597</v>
      </c>
      <c r="V10" s="102"/>
    </row>
    <row r="11" spans="1:29" s="4" customFormat="1" ht="15.75" customHeight="1" x14ac:dyDescent="0.2">
      <c r="A11" s="100"/>
      <c r="B11" s="104"/>
      <c r="C11" s="104"/>
      <c r="D11" s="104"/>
      <c r="E11" s="157"/>
      <c r="F11" s="129"/>
      <c r="G11" s="27" t="s">
        <v>72</v>
      </c>
      <c r="H11" s="24"/>
      <c r="I11" s="24"/>
      <c r="J11" s="115">
        <v>3.0000000000000001E-3</v>
      </c>
      <c r="K11" s="105"/>
      <c r="L11" s="4" t="s">
        <v>89</v>
      </c>
      <c r="O11" s="208">
        <v>41791</v>
      </c>
      <c r="P11" s="156"/>
      <c r="R11" s="17" t="s">
        <v>23</v>
      </c>
      <c r="S11" s="6"/>
      <c r="T11" s="6"/>
      <c r="U11" s="137">
        <v>8</v>
      </c>
      <c r="V11" s="102"/>
      <c r="X11" s="212"/>
      <c r="Y11" s="212"/>
      <c r="Z11" s="212"/>
      <c r="AA11" s="212"/>
      <c r="AB11" s="212"/>
      <c r="AC11" s="212"/>
    </row>
    <row r="12" spans="1:29" s="4" customFormat="1" ht="15.75" customHeight="1" x14ac:dyDescent="0.25">
      <c r="A12" s="100"/>
      <c r="B12" s="104"/>
      <c r="C12" s="104"/>
      <c r="D12" s="104"/>
      <c r="E12" s="157"/>
      <c r="F12" s="85"/>
      <c r="G12" s="104"/>
      <c r="H12" s="104"/>
      <c r="I12" s="104"/>
      <c r="J12" s="104"/>
      <c r="K12" s="104"/>
      <c r="L12" s="152" t="s">
        <v>88</v>
      </c>
      <c r="M12" s="154"/>
      <c r="N12" s="155"/>
      <c r="O12" s="152">
        <f>IF(type_subvention_avancee="RU",ru_base+ru_puissance*puissance_installee,0)</f>
        <v>6500</v>
      </c>
      <c r="P12" s="209">
        <f>subvention_init_avancee/cout_total</f>
        <v>0.32500000000000001</v>
      </c>
      <c r="R12" s="27" t="s">
        <v>115</v>
      </c>
      <c r="S12" s="24"/>
      <c r="T12" s="24"/>
      <c r="U12" s="216">
        <f>IF(date_mise_en_service&gt;DATE(2014,1,1),20,25)</f>
        <v>20</v>
      </c>
      <c r="V12" s="102"/>
      <c r="X12" s="212"/>
      <c r="Y12" s="212"/>
      <c r="Z12" s="212"/>
      <c r="AA12" s="212"/>
      <c r="AB12" s="212"/>
      <c r="AC12" s="212"/>
    </row>
    <row r="13" spans="1:29" s="4" customFormat="1" ht="4.5" customHeight="1" thickBot="1" x14ac:dyDescent="0.25">
      <c r="A13" s="100"/>
      <c r="B13" s="85"/>
      <c r="C13" s="85"/>
      <c r="D13" s="85"/>
      <c r="E13" s="203"/>
      <c r="F13" s="85"/>
      <c r="G13" s="85"/>
      <c r="H13" s="85"/>
      <c r="I13" s="85"/>
      <c r="J13" s="227"/>
      <c r="K13" s="104"/>
      <c r="L13" s="104"/>
      <c r="M13" s="104"/>
      <c r="N13" s="104"/>
      <c r="O13" s="104"/>
      <c r="P13" s="85"/>
      <c r="R13" s="85"/>
      <c r="S13" s="85"/>
      <c r="T13" s="85"/>
      <c r="U13" s="85"/>
      <c r="V13" s="102"/>
      <c r="X13" s="212"/>
      <c r="Y13" s="212"/>
      <c r="Z13" s="212"/>
      <c r="AA13" s="212"/>
      <c r="AB13" s="212"/>
      <c r="AC13" s="212"/>
    </row>
    <row r="14" spans="1:29" s="4" customFormat="1" ht="15.75" customHeight="1" x14ac:dyDescent="0.2">
      <c r="A14" s="88"/>
      <c r="B14" s="86" t="s">
        <v>46</v>
      </c>
      <c r="C14" s="81"/>
      <c r="D14" s="81"/>
      <c r="E14" s="81"/>
      <c r="F14" s="81"/>
      <c r="G14" s="91"/>
      <c r="H14" s="91"/>
      <c r="I14" s="91"/>
      <c r="J14" s="91"/>
      <c r="K14" s="92"/>
      <c r="L14" s="86" t="s">
        <v>63</v>
      </c>
      <c r="M14" s="81"/>
      <c r="N14" s="81"/>
      <c r="O14" s="81"/>
      <c r="P14" s="81"/>
      <c r="Q14" s="81"/>
      <c r="R14" s="81"/>
      <c r="S14" s="81"/>
      <c r="T14" s="81"/>
      <c r="U14" s="81"/>
      <c r="V14" s="196"/>
      <c r="X14" s="212"/>
      <c r="Y14" s="212"/>
      <c r="Z14" s="212"/>
      <c r="AA14" s="212"/>
      <c r="AB14" s="212"/>
      <c r="AC14" s="212"/>
    </row>
    <row r="15" spans="1:29" s="4" customFormat="1" ht="15.75" customHeight="1" x14ac:dyDescent="0.2">
      <c r="A15" s="89"/>
      <c r="B15" s="74" t="s">
        <v>81</v>
      </c>
      <c r="C15" s="75"/>
      <c r="D15" s="75"/>
      <c r="E15" s="76">
        <f>COUNTIF(Q22:Q47,"neg")</f>
        <v>18</v>
      </c>
      <c r="F15" s="82"/>
      <c r="G15" s="17" t="s">
        <v>80</v>
      </c>
      <c r="H15" s="19"/>
      <c r="I15" s="19"/>
      <c r="J15" s="125">
        <f>IF(fond_propre=0,"-",((P47/fond_propre+1)^(1/25)-1))</f>
        <v>1.3753592751139632E-2</v>
      </c>
      <c r="K15" s="93"/>
      <c r="L15" s="126" t="s">
        <v>27</v>
      </c>
      <c r="M15" s="127"/>
      <c r="N15" s="15"/>
      <c r="O15" s="199">
        <v>0</v>
      </c>
      <c r="P15" s="82"/>
      <c r="Q15" s="82"/>
      <c r="R15" s="82"/>
      <c r="S15" s="82"/>
      <c r="T15" s="82"/>
      <c r="U15" s="82"/>
      <c r="V15" s="197"/>
      <c r="X15" s="124"/>
    </row>
    <row r="16" spans="1:29" s="4" customFormat="1" ht="15.75" customHeight="1" x14ac:dyDescent="0.2">
      <c r="A16" s="89"/>
      <c r="B16" s="17" t="s">
        <v>50</v>
      </c>
      <c r="C16" s="19"/>
      <c r="D16" s="19"/>
      <c r="E16" s="62">
        <f>COUNTIF(N23:N47,"&lt;&gt;0")</f>
        <v>0</v>
      </c>
      <c r="F16" s="83"/>
      <c r="G16" s="17" t="s">
        <v>79</v>
      </c>
      <c r="H16" s="79"/>
      <c r="I16" s="79"/>
      <c r="J16" s="78">
        <f>((M49/inv_initial+1)^(1/25)-1)</f>
        <v>1.3753592751139632E-2</v>
      </c>
      <c r="K16" s="93"/>
      <c r="L16" s="17" t="s">
        <v>76</v>
      </c>
      <c r="M16" s="19"/>
      <c r="N16" s="6"/>
      <c r="O16" s="200">
        <f>'Version avancée'!J6*O15+'Version avancée'!J7*taux_interet*(1-taux_deduction_fiscale)</f>
        <v>0</v>
      </c>
      <c r="P16" s="82"/>
      <c r="Q16" s="82"/>
      <c r="R16" s="82"/>
      <c r="S16" s="82"/>
      <c r="T16" s="82"/>
      <c r="U16" s="82"/>
      <c r="V16" s="197"/>
    </row>
    <row r="17" spans="1:28" s="4" customFormat="1" ht="15.75" customHeight="1" x14ac:dyDescent="0.2">
      <c r="A17" s="89"/>
      <c r="B17" s="17" t="str">
        <f>CONCATENATE("Annuité amortiss. dette  sans revenu ",duree_amortissement," ans")</f>
        <v>Annuité amortiss. dette  sans revenu 25 ans</v>
      </c>
      <c r="C17" s="19"/>
      <c r="D17" s="19"/>
      <c r="E17" s="64">
        <f>IF(montant_dette_initiale=0,0,PMT(taux_interet,duree_amortissement,-montant_dette_initiale))</f>
        <v>0</v>
      </c>
      <c r="F17" s="83"/>
      <c r="G17" s="17" t="s">
        <v>77</v>
      </c>
      <c r="H17" s="19"/>
      <c r="I17" s="19"/>
      <c r="J17" s="110">
        <f>SUM(M23:M47)</f>
        <v>18995.202494546404</v>
      </c>
      <c r="K17" s="82"/>
      <c r="L17" s="18" t="s">
        <v>11</v>
      </c>
      <c r="M17" s="6"/>
      <c r="N17" s="6"/>
      <c r="O17" s="201">
        <f>NPV(taux_actualisation,M23:M47)+M22</f>
        <v>5495.2024945464036</v>
      </c>
      <c r="P17" s="82"/>
      <c r="Q17" s="82"/>
      <c r="R17" s="82"/>
      <c r="S17" s="82"/>
      <c r="T17" s="82"/>
      <c r="U17" s="82"/>
      <c r="V17" s="197"/>
    </row>
    <row r="18" spans="1:28" s="4" customFormat="1" ht="15.75" customHeight="1" x14ac:dyDescent="0.2">
      <c r="A18" s="89"/>
      <c r="B18" s="22" t="s">
        <v>19</v>
      </c>
      <c r="C18" s="23"/>
      <c r="D18" s="23"/>
      <c r="E18" s="77">
        <f>IF(reinvestissement_effet_fiscal="oui",(-H49-J49-K49)/C49*100,(-H49-J49)/C49*100)</f>
        <v>8.6987127916331453</v>
      </c>
      <c r="F18" s="82"/>
      <c r="G18" s="22" t="s">
        <v>67</v>
      </c>
      <c r="H18" s="23"/>
      <c r="I18" s="23"/>
      <c r="J18" s="80">
        <f>P47</f>
        <v>5495.2024945463963</v>
      </c>
      <c r="K18" s="82"/>
      <c r="L18" s="27" t="s">
        <v>12</v>
      </c>
      <c r="M18" s="24"/>
      <c r="N18" s="24"/>
      <c r="O18" s="202">
        <f>IRR(M22:M47)</f>
        <v>3.0960046022043386E-2</v>
      </c>
      <c r="P18" s="82"/>
      <c r="Q18" s="82"/>
      <c r="R18" s="82"/>
      <c r="S18" s="82"/>
      <c r="T18" s="82"/>
      <c r="U18" s="82"/>
      <c r="V18" s="197"/>
      <c r="X18" s="212"/>
    </row>
    <row r="19" spans="1:28" s="4" customFormat="1" ht="4.5" customHeight="1" thickBot="1" x14ac:dyDescent="0.25">
      <c r="A19" s="90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198"/>
    </row>
    <row r="20" spans="1:28" s="4" customFormat="1" ht="5.25" customHeight="1" x14ac:dyDescent="0.2">
      <c r="K20" s="26"/>
      <c r="L20" s="30"/>
      <c r="M20" s="6"/>
      <c r="N20" s="6"/>
      <c r="O20" s="6"/>
      <c r="S20" s="29"/>
    </row>
    <row r="21" spans="1:28" s="13" customFormat="1" ht="31.5" x14ac:dyDescent="0.25">
      <c r="B21" s="7" t="s">
        <v>0</v>
      </c>
      <c r="C21" s="7" t="s">
        <v>8</v>
      </c>
      <c r="D21" s="7" t="s">
        <v>58</v>
      </c>
      <c r="E21" s="7" t="s">
        <v>64</v>
      </c>
      <c r="F21" s="57" t="s">
        <v>17</v>
      </c>
      <c r="G21" s="57" t="s">
        <v>20</v>
      </c>
      <c r="H21" s="58" t="s">
        <v>1</v>
      </c>
      <c r="I21" s="8" t="s">
        <v>10</v>
      </c>
      <c r="J21" s="7" t="s">
        <v>14</v>
      </c>
      <c r="K21" s="59" t="s">
        <v>16</v>
      </c>
      <c r="L21" s="8" t="s">
        <v>7</v>
      </c>
      <c r="M21" s="8" t="s">
        <v>6</v>
      </c>
      <c r="N21" s="60" t="s">
        <v>25</v>
      </c>
      <c r="O21" s="60" t="s">
        <v>13</v>
      </c>
      <c r="P21" s="8" t="s">
        <v>66</v>
      </c>
      <c r="Q21" s="8" t="s">
        <v>24</v>
      </c>
      <c r="R21" s="9"/>
      <c r="S21" s="10"/>
      <c r="T21" s="11"/>
      <c r="U21" s="11"/>
      <c r="V21" s="12"/>
      <c r="W21" s="4"/>
      <c r="X21" s="213"/>
      <c r="Y21" s="4"/>
      <c r="AA21" s="106"/>
    </row>
    <row r="22" spans="1:28" s="4" customFormat="1" ht="12.75" x14ac:dyDescent="0.2">
      <c r="B22" s="31">
        <v>0</v>
      </c>
      <c r="C22" s="32"/>
      <c r="D22" s="32"/>
      <c r="E22" s="32">
        <v>0</v>
      </c>
      <c r="F22" s="33">
        <f t="shared" ref="F22:F47" si="0">IF(C22*part_electricite_vendue&gt;production_non_imposee,-(C22*part_electricite_vendue-production_non_imposee)*taux_imposition_revenu*D22,0)</f>
        <v>0</v>
      </c>
      <c r="G22" s="34"/>
      <c r="H22" s="35">
        <v>0</v>
      </c>
      <c r="I22" s="38">
        <f>E22+F22+H22</f>
        <v>0</v>
      </c>
      <c r="J22" s="36">
        <f>-montant_dette_initiale-fond_propre</f>
        <v>-13500</v>
      </c>
      <c r="K22" s="37"/>
      <c r="L22" s="38"/>
      <c r="M22" s="45">
        <f>-montant_dette_initiale-fond_propre</f>
        <v>-13500</v>
      </c>
      <c r="N22" s="39"/>
      <c r="O22" s="39">
        <f>-montant_dette_initiale</f>
        <v>0</v>
      </c>
      <c r="P22" s="45">
        <f>-fond_propre</f>
        <v>-13500</v>
      </c>
      <c r="Q22" s="40" t="str">
        <f>IF(P22&lt;0,"neg",IF(O22&lt;0,"neg","pos"))</f>
        <v>neg</v>
      </c>
      <c r="R22" s="41"/>
      <c r="S22" s="19"/>
      <c r="T22" s="19"/>
      <c r="U22" s="6"/>
      <c r="W22" s="124"/>
      <c r="X22" s="124"/>
      <c r="Y22" s="124"/>
      <c r="Z22" s="107"/>
      <c r="AB22" s="6"/>
    </row>
    <row r="23" spans="1:28" s="4" customFormat="1" ht="12.75" x14ac:dyDescent="0.2">
      <c r="B23" s="31">
        <v>1</v>
      </c>
      <c r="C23" s="42">
        <f t="shared" ref="C23:C47" si="1">production_annuelle*(1-reduction_annuelle_prod*(B23-1))</f>
        <v>6600</v>
      </c>
      <c r="D23" s="43">
        <f t="shared" ref="D23:D47" si="2">IF(type_subvention_avancee="RPC",IF(OR(B23&gt;duree_rpc_annee,(B23-1)&lt;temps_attente),tarif_vente_elec_distributeur,tarif_vente_elec),tarif_vente_elec_distributeur)</f>
        <v>0.06</v>
      </c>
      <c r="E23" s="42">
        <f t="shared" ref="E23:E47" si="3">C23*part_electricite_vendue*D23</f>
        <v>258</v>
      </c>
      <c r="F23" s="42">
        <f t="shared" si="0"/>
        <v>0</v>
      </c>
      <c r="G23" s="34">
        <f t="shared" ref="G23:G47" si="4">-production_annuelle*(1-reduction_annuelle_prod*(B23-1))*tarif_achat_elec_distributeur*(1-part_electricite_vendue)*(1+croissance_prix_elec)^(B23-1)</f>
        <v>-414</v>
      </c>
      <c r="H23" s="44">
        <f t="shared" ref="H23:H47" si="5">-frais_annuel*cout_total</f>
        <v>-60</v>
      </c>
      <c r="I23" s="45">
        <f t="shared" ref="I23:I47" si="6">E23+F23+H23-G23</f>
        <v>612</v>
      </c>
      <c r="J23" s="123">
        <v>0</v>
      </c>
      <c r="K23" s="138">
        <f>IF((J22+L22)&lt;0,-(J22+L22)*taux_deduction_fiscale,0)</f>
        <v>2025</v>
      </c>
      <c r="L23" s="45">
        <f t="shared" ref="L23:L47" si="7">IF(O22&lt;0,O22*taux_interet,0)</f>
        <v>0</v>
      </c>
      <c r="M23" s="45">
        <f t="shared" ref="M23:M47" si="8">IF(reinvestissement_effet_fiscal="oui",K23+I23+L23+J23,I23+L23+J23)</f>
        <v>2637</v>
      </c>
      <c r="N23" s="39">
        <f>IF(O22&lt;0,IF(O22+M23&lt;0,M23,-O22),0)</f>
        <v>0</v>
      </c>
      <c r="O23" s="39">
        <f t="shared" ref="O23:O47" si="9">IF(O22&lt;0,IF(O22+N23&lt;0,O22+N23,0),0)</f>
        <v>0</v>
      </c>
      <c r="P23" s="45">
        <f t="shared" ref="P23:P47" si="10">P22+M23-N23</f>
        <v>-10863</v>
      </c>
      <c r="Q23" s="40" t="str">
        <f t="shared" ref="Q23:Q47" si="11">IF(P23&lt;0,"neg",IF(O23&lt;0,"neg","pos"))</f>
        <v>neg</v>
      </c>
      <c r="R23" s="46"/>
      <c r="S23" s="6"/>
      <c r="T23" s="6"/>
      <c r="U23" s="6"/>
      <c r="V23" s="6"/>
      <c r="W23" s="124"/>
      <c r="X23" s="124"/>
      <c r="Y23" s="124"/>
      <c r="Z23" s="107"/>
      <c r="AB23" s="6"/>
    </row>
    <row r="24" spans="1:28" s="4" customFormat="1" ht="12.75" x14ac:dyDescent="0.2">
      <c r="B24" s="31">
        <f>B23+1</f>
        <v>2</v>
      </c>
      <c r="C24" s="42">
        <f t="shared" si="1"/>
        <v>6547.2</v>
      </c>
      <c r="D24" s="43">
        <f t="shared" si="2"/>
        <v>0.06</v>
      </c>
      <c r="E24" s="42">
        <f t="shared" si="3"/>
        <v>255.93599999999995</v>
      </c>
      <c r="F24" s="42">
        <f t="shared" si="0"/>
        <v>0</v>
      </c>
      <c r="G24" s="34">
        <f t="shared" si="4"/>
        <v>-420.95519999999993</v>
      </c>
      <c r="H24" s="44">
        <f t="shared" si="5"/>
        <v>-60</v>
      </c>
      <c r="I24" s="45">
        <f t="shared" si="6"/>
        <v>616.89119999999991</v>
      </c>
      <c r="J24" s="123">
        <v>0</v>
      </c>
      <c r="K24" s="34">
        <f t="shared" ref="K24:K47" si="12">IF((J23+L23)&lt;0,-(J23+L23)*taux_deduction_fiscale,0)</f>
        <v>0</v>
      </c>
      <c r="L24" s="45">
        <f t="shared" si="7"/>
        <v>0</v>
      </c>
      <c r="M24" s="45">
        <f t="shared" si="8"/>
        <v>616.89119999999991</v>
      </c>
      <c r="N24" s="39">
        <f t="shared" ref="N24:N47" si="13">IF(O23&lt;0,IF(O23+M24&lt;0,M24,-O23),0)</f>
        <v>0</v>
      </c>
      <c r="O24" s="39">
        <f t="shared" si="9"/>
        <v>0</v>
      </c>
      <c r="P24" s="45">
        <f t="shared" si="10"/>
        <v>-10246.1088</v>
      </c>
      <c r="Q24" s="40" t="str">
        <f t="shared" si="11"/>
        <v>neg</v>
      </c>
      <c r="R24" s="46"/>
      <c r="W24" s="124"/>
      <c r="Y24" s="124"/>
      <c r="Z24" s="107"/>
      <c r="AB24" s="6"/>
    </row>
    <row r="25" spans="1:28" s="4" customFormat="1" ht="12.75" x14ac:dyDescent="0.2">
      <c r="B25" s="31">
        <f t="shared" ref="B25:B47" si="14">B24+1</f>
        <v>3</v>
      </c>
      <c r="C25" s="42">
        <f t="shared" si="1"/>
        <v>6494.4</v>
      </c>
      <c r="D25" s="43">
        <f t="shared" si="2"/>
        <v>0.06</v>
      </c>
      <c r="E25" s="42">
        <f t="shared" si="3"/>
        <v>253.87199999999999</v>
      </c>
      <c r="F25" s="42">
        <f t="shared" si="0"/>
        <v>0</v>
      </c>
      <c r="G25" s="34">
        <f t="shared" si="4"/>
        <v>-427.99941000000001</v>
      </c>
      <c r="H25" s="44">
        <f t="shared" si="5"/>
        <v>-60</v>
      </c>
      <c r="I25" s="45">
        <f t="shared" si="6"/>
        <v>621.87140999999997</v>
      </c>
      <c r="J25" s="123">
        <v>0</v>
      </c>
      <c r="K25" s="34">
        <f t="shared" si="12"/>
        <v>0</v>
      </c>
      <c r="L25" s="45">
        <f t="shared" si="7"/>
        <v>0</v>
      </c>
      <c r="M25" s="45">
        <f t="shared" si="8"/>
        <v>621.87140999999997</v>
      </c>
      <c r="N25" s="39">
        <f t="shared" si="13"/>
        <v>0</v>
      </c>
      <c r="O25" s="39">
        <f t="shared" si="9"/>
        <v>0</v>
      </c>
      <c r="P25" s="45">
        <f t="shared" si="10"/>
        <v>-9624.2373900000002</v>
      </c>
      <c r="Q25" s="40" t="str">
        <f t="shared" si="11"/>
        <v>neg</v>
      </c>
      <c r="R25" s="46"/>
      <c r="V25" s="6"/>
      <c r="W25" s="124"/>
      <c r="X25" s="124"/>
      <c r="Y25" s="124"/>
      <c r="Z25" s="107"/>
      <c r="AB25" s="6"/>
    </row>
    <row r="26" spans="1:28" s="4" customFormat="1" ht="12.75" x14ac:dyDescent="0.2">
      <c r="B26" s="31">
        <f t="shared" si="14"/>
        <v>4</v>
      </c>
      <c r="C26" s="42">
        <f t="shared" si="1"/>
        <v>6441.5999999999995</v>
      </c>
      <c r="D26" s="43">
        <f t="shared" si="2"/>
        <v>0.06</v>
      </c>
      <c r="E26" s="42">
        <f t="shared" si="3"/>
        <v>251.80799999999994</v>
      </c>
      <c r="F26" s="42">
        <f t="shared" si="0"/>
        <v>0</v>
      </c>
      <c r="G26" s="34">
        <f t="shared" si="4"/>
        <v>-435.13273349999992</v>
      </c>
      <c r="H26" s="44">
        <f t="shared" si="5"/>
        <v>-60</v>
      </c>
      <c r="I26" s="45">
        <f t="shared" si="6"/>
        <v>626.94073349999985</v>
      </c>
      <c r="J26" s="123">
        <v>0</v>
      </c>
      <c r="K26" s="34">
        <f t="shared" si="12"/>
        <v>0</v>
      </c>
      <c r="L26" s="45">
        <f t="shared" si="7"/>
        <v>0</v>
      </c>
      <c r="M26" s="45">
        <f t="shared" si="8"/>
        <v>626.94073349999985</v>
      </c>
      <c r="N26" s="39">
        <f t="shared" si="13"/>
        <v>0</v>
      </c>
      <c r="O26" s="39">
        <f t="shared" si="9"/>
        <v>0</v>
      </c>
      <c r="P26" s="45">
        <f t="shared" si="10"/>
        <v>-8997.2966565000006</v>
      </c>
      <c r="Q26" s="40" t="str">
        <f t="shared" si="11"/>
        <v>neg</v>
      </c>
      <c r="R26" s="46"/>
      <c r="W26" s="124"/>
      <c r="X26" s="124"/>
      <c r="Y26" s="124"/>
      <c r="Z26" s="107"/>
      <c r="AB26" s="6"/>
    </row>
    <row r="27" spans="1:28" s="4" customFormat="1" ht="12.75" x14ac:dyDescent="0.2">
      <c r="B27" s="31">
        <f t="shared" si="14"/>
        <v>5</v>
      </c>
      <c r="C27" s="42">
        <f t="shared" si="1"/>
        <v>6388.8</v>
      </c>
      <c r="D27" s="43">
        <f t="shared" si="2"/>
        <v>0.06</v>
      </c>
      <c r="E27" s="42">
        <f t="shared" si="3"/>
        <v>249.74399999999997</v>
      </c>
      <c r="F27" s="42">
        <f t="shared" si="0"/>
        <v>0</v>
      </c>
      <c r="G27" s="34">
        <f t="shared" si="4"/>
        <v>-442.3552235437499</v>
      </c>
      <c r="H27" s="44">
        <f t="shared" si="5"/>
        <v>-60</v>
      </c>
      <c r="I27" s="45">
        <f t="shared" si="6"/>
        <v>632.09922354374987</v>
      </c>
      <c r="J27" s="123">
        <v>0</v>
      </c>
      <c r="K27" s="34">
        <f t="shared" si="12"/>
        <v>0</v>
      </c>
      <c r="L27" s="45">
        <f t="shared" si="7"/>
        <v>0</v>
      </c>
      <c r="M27" s="45">
        <f t="shared" si="8"/>
        <v>632.09922354374987</v>
      </c>
      <c r="N27" s="39">
        <f t="shared" si="13"/>
        <v>0</v>
      </c>
      <c r="O27" s="39">
        <f t="shared" si="9"/>
        <v>0</v>
      </c>
      <c r="P27" s="45">
        <f t="shared" si="10"/>
        <v>-8365.1974329562509</v>
      </c>
      <c r="Q27" s="40" t="str">
        <f t="shared" si="11"/>
        <v>neg</v>
      </c>
      <c r="R27" s="46"/>
      <c r="V27" s="6"/>
      <c r="W27" s="124"/>
      <c r="X27" s="124"/>
      <c r="Y27" s="124"/>
      <c r="Z27" s="107"/>
      <c r="AB27" s="6"/>
    </row>
    <row r="28" spans="1:28" s="4" customFormat="1" ht="12.75" x14ac:dyDescent="0.2">
      <c r="B28" s="31">
        <f t="shared" si="14"/>
        <v>6</v>
      </c>
      <c r="C28" s="42">
        <f t="shared" si="1"/>
        <v>6336</v>
      </c>
      <c r="D28" s="43">
        <f t="shared" si="2"/>
        <v>0.06</v>
      </c>
      <c r="E28" s="42">
        <f t="shared" si="3"/>
        <v>247.67999999999998</v>
      </c>
      <c r="F28" s="42">
        <f t="shared" si="0"/>
        <v>0</v>
      </c>
      <c r="G28" s="34">
        <f t="shared" si="4"/>
        <v>-449.66688013124991</v>
      </c>
      <c r="H28" s="44">
        <f t="shared" si="5"/>
        <v>-60</v>
      </c>
      <c r="I28" s="45">
        <f t="shared" si="6"/>
        <v>637.34688013124992</v>
      </c>
      <c r="J28" s="123">
        <v>0</v>
      </c>
      <c r="K28" s="34">
        <f t="shared" si="12"/>
        <v>0</v>
      </c>
      <c r="L28" s="45">
        <f t="shared" si="7"/>
        <v>0</v>
      </c>
      <c r="M28" s="45">
        <f t="shared" si="8"/>
        <v>637.34688013124992</v>
      </c>
      <c r="N28" s="39">
        <f t="shared" si="13"/>
        <v>0</v>
      </c>
      <c r="O28" s="39">
        <f t="shared" si="9"/>
        <v>0</v>
      </c>
      <c r="P28" s="45">
        <f t="shared" si="10"/>
        <v>-7727.8505528250007</v>
      </c>
      <c r="Q28" s="40" t="str">
        <f t="shared" si="11"/>
        <v>neg</v>
      </c>
      <c r="R28" s="46"/>
      <c r="W28" s="124"/>
      <c r="X28" s="124"/>
      <c r="Y28" s="124"/>
      <c r="Z28" s="107"/>
      <c r="AB28" s="6"/>
    </row>
    <row r="29" spans="1:28" s="4" customFormat="1" ht="12.75" x14ac:dyDescent="0.2">
      <c r="B29" s="31">
        <f t="shared" si="14"/>
        <v>7</v>
      </c>
      <c r="C29" s="42">
        <f t="shared" si="1"/>
        <v>6283.2</v>
      </c>
      <c r="D29" s="43">
        <f t="shared" si="2"/>
        <v>0.06</v>
      </c>
      <c r="E29" s="42">
        <f t="shared" si="3"/>
        <v>245.61599999999999</v>
      </c>
      <c r="F29" s="42">
        <f t="shared" si="0"/>
        <v>0</v>
      </c>
      <c r="G29" s="34">
        <f t="shared" si="4"/>
        <v>-457.06764753340997</v>
      </c>
      <c r="H29" s="44">
        <f t="shared" si="5"/>
        <v>-60</v>
      </c>
      <c r="I29" s="45">
        <f t="shared" si="6"/>
        <v>642.68364753340995</v>
      </c>
      <c r="J29" s="123">
        <v>0</v>
      </c>
      <c r="K29" s="34">
        <f t="shared" si="12"/>
        <v>0</v>
      </c>
      <c r="L29" s="45">
        <f t="shared" si="7"/>
        <v>0</v>
      </c>
      <c r="M29" s="45">
        <f t="shared" si="8"/>
        <v>642.68364753340995</v>
      </c>
      <c r="N29" s="39">
        <f t="shared" si="13"/>
        <v>0</v>
      </c>
      <c r="O29" s="39">
        <f t="shared" si="9"/>
        <v>0</v>
      </c>
      <c r="P29" s="45">
        <f t="shared" si="10"/>
        <v>-7085.1669052915904</v>
      </c>
      <c r="Q29" s="40" t="str">
        <f t="shared" si="11"/>
        <v>neg</v>
      </c>
      <c r="R29" s="46"/>
      <c r="S29" s="6"/>
      <c r="T29" s="6"/>
      <c r="U29" s="6"/>
      <c r="V29" s="6"/>
      <c r="W29" s="124"/>
      <c r="X29" s="124"/>
      <c r="Y29" s="124"/>
      <c r="Z29" s="107"/>
      <c r="AB29" s="6"/>
    </row>
    <row r="30" spans="1:28" s="4" customFormat="1" ht="12.75" x14ac:dyDescent="0.2">
      <c r="B30" s="31">
        <f t="shared" si="14"/>
        <v>8</v>
      </c>
      <c r="C30" s="42">
        <f t="shared" si="1"/>
        <v>6230.4</v>
      </c>
      <c r="D30" s="43">
        <f t="shared" si="2"/>
        <v>0.06</v>
      </c>
      <c r="E30" s="42">
        <f t="shared" si="3"/>
        <v>243.55199999999999</v>
      </c>
      <c r="F30" s="42">
        <f t="shared" si="0"/>
        <v>0</v>
      </c>
      <c r="G30" s="34">
        <f t="shared" si="4"/>
        <v>-464.55741150559618</v>
      </c>
      <c r="H30" s="44">
        <f t="shared" si="5"/>
        <v>-60</v>
      </c>
      <c r="I30" s="45">
        <f t="shared" si="6"/>
        <v>648.1094115055962</v>
      </c>
      <c r="J30" s="123">
        <v>0</v>
      </c>
      <c r="K30" s="34">
        <f t="shared" si="12"/>
        <v>0</v>
      </c>
      <c r="L30" s="45">
        <f t="shared" si="7"/>
        <v>0</v>
      </c>
      <c r="M30" s="45">
        <f t="shared" si="8"/>
        <v>648.1094115055962</v>
      </c>
      <c r="N30" s="39">
        <f t="shared" si="13"/>
        <v>0</v>
      </c>
      <c r="O30" s="39">
        <f t="shared" si="9"/>
        <v>0</v>
      </c>
      <c r="P30" s="45">
        <f t="shared" si="10"/>
        <v>-6437.0574937859947</v>
      </c>
      <c r="Q30" s="40" t="str">
        <f t="shared" si="11"/>
        <v>neg</v>
      </c>
      <c r="R30" s="46"/>
      <c r="S30" s="19"/>
      <c r="T30" s="6"/>
      <c r="U30" s="6"/>
      <c r="W30" s="124"/>
      <c r="X30" s="124"/>
      <c r="Y30" s="124"/>
      <c r="Z30" s="107"/>
      <c r="AB30" s="6"/>
    </row>
    <row r="31" spans="1:28" s="4" customFormat="1" ht="12.75" x14ac:dyDescent="0.2">
      <c r="B31" s="31">
        <f t="shared" si="14"/>
        <v>9</v>
      </c>
      <c r="C31" s="42">
        <f t="shared" si="1"/>
        <v>6177.5999999999995</v>
      </c>
      <c r="D31" s="43">
        <f t="shared" si="2"/>
        <v>0.06</v>
      </c>
      <c r="E31" s="42">
        <f t="shared" si="3"/>
        <v>241.48799999999994</v>
      </c>
      <c r="F31" s="42">
        <f t="shared" si="0"/>
        <v>0</v>
      </c>
      <c r="G31" s="34">
        <f t="shared" si="4"/>
        <v>-472.13599639668308</v>
      </c>
      <c r="H31" s="44">
        <f t="shared" si="5"/>
        <v>-60</v>
      </c>
      <c r="I31" s="45">
        <f t="shared" si="6"/>
        <v>653.62399639668297</v>
      </c>
      <c r="J31" s="123">
        <v>0</v>
      </c>
      <c r="K31" s="34">
        <f t="shared" si="12"/>
        <v>0</v>
      </c>
      <c r="L31" s="45">
        <f t="shared" si="7"/>
        <v>0</v>
      </c>
      <c r="M31" s="45">
        <f t="shared" si="8"/>
        <v>653.62399639668297</v>
      </c>
      <c r="N31" s="39">
        <f t="shared" si="13"/>
        <v>0</v>
      </c>
      <c r="O31" s="39">
        <f t="shared" si="9"/>
        <v>0</v>
      </c>
      <c r="P31" s="45">
        <f t="shared" si="10"/>
        <v>-5783.4334973893119</v>
      </c>
      <c r="Q31" s="40" t="str">
        <f t="shared" si="11"/>
        <v>neg</v>
      </c>
      <c r="R31" s="46"/>
      <c r="S31" s="6"/>
      <c r="T31" s="6"/>
      <c r="U31" s="6"/>
      <c r="V31" s="6"/>
      <c r="W31" s="124"/>
      <c r="X31" s="124"/>
      <c r="Y31" s="124"/>
      <c r="Z31" s="107"/>
      <c r="AB31" s="6"/>
    </row>
    <row r="32" spans="1:28" s="4" customFormat="1" ht="12.75" x14ac:dyDescent="0.2">
      <c r="B32" s="31">
        <f t="shared" si="14"/>
        <v>10</v>
      </c>
      <c r="C32" s="42">
        <f t="shared" si="1"/>
        <v>6124.7999999999993</v>
      </c>
      <c r="D32" s="43">
        <f t="shared" si="2"/>
        <v>0.06</v>
      </c>
      <c r="E32" s="42">
        <f t="shared" si="3"/>
        <v>239.42399999999995</v>
      </c>
      <c r="F32" s="42">
        <f t="shared" si="0"/>
        <v>0</v>
      </c>
      <c r="G32" s="34">
        <f t="shared" si="4"/>
        <v>-479.80316215013346</v>
      </c>
      <c r="H32" s="44">
        <f t="shared" si="5"/>
        <v>-60</v>
      </c>
      <c r="I32" s="45">
        <f t="shared" si="6"/>
        <v>659.22716215013338</v>
      </c>
      <c r="J32" s="123">
        <v>0</v>
      </c>
      <c r="K32" s="34">
        <f t="shared" si="12"/>
        <v>0</v>
      </c>
      <c r="L32" s="45">
        <f t="shared" si="7"/>
        <v>0</v>
      </c>
      <c r="M32" s="45">
        <f t="shared" si="8"/>
        <v>659.22716215013338</v>
      </c>
      <c r="N32" s="39">
        <f t="shared" si="13"/>
        <v>0</v>
      </c>
      <c r="O32" s="39">
        <f t="shared" si="9"/>
        <v>0</v>
      </c>
      <c r="P32" s="45">
        <f t="shared" si="10"/>
        <v>-5124.2063352391788</v>
      </c>
      <c r="Q32" s="40" t="str">
        <f t="shared" si="11"/>
        <v>neg</v>
      </c>
      <c r="R32" s="46"/>
      <c r="S32" s="6"/>
      <c r="T32" s="6"/>
      <c r="U32" s="6"/>
      <c r="W32" s="124"/>
      <c r="X32" s="124"/>
      <c r="Y32" s="124"/>
      <c r="Z32" s="107"/>
      <c r="AB32" s="6"/>
    </row>
    <row r="33" spans="2:28" s="4" customFormat="1" ht="12.75" x14ac:dyDescent="0.2">
      <c r="B33" s="31">
        <f t="shared" si="14"/>
        <v>11</v>
      </c>
      <c r="C33" s="42">
        <f t="shared" si="1"/>
        <v>6072</v>
      </c>
      <c r="D33" s="43">
        <f t="shared" si="2"/>
        <v>0.06</v>
      </c>
      <c r="E33" s="42">
        <f t="shared" si="3"/>
        <v>237.35999999999999</v>
      </c>
      <c r="F33" s="42">
        <f t="shared" si="0"/>
        <v>0</v>
      </c>
      <c r="G33" s="34">
        <f t="shared" si="4"/>
        <v>-487.55860119350854</v>
      </c>
      <c r="H33" s="44">
        <f t="shared" si="5"/>
        <v>-60</v>
      </c>
      <c r="I33" s="45">
        <f t="shared" si="6"/>
        <v>664.91860119350849</v>
      </c>
      <c r="J33" s="123">
        <v>0</v>
      </c>
      <c r="K33" s="34">
        <f t="shared" si="12"/>
        <v>0</v>
      </c>
      <c r="L33" s="47">
        <f t="shared" si="7"/>
        <v>0</v>
      </c>
      <c r="M33" s="45">
        <f t="shared" si="8"/>
        <v>664.91860119350849</v>
      </c>
      <c r="N33" s="39">
        <f t="shared" si="13"/>
        <v>0</v>
      </c>
      <c r="O33" s="39">
        <f t="shared" si="9"/>
        <v>0</v>
      </c>
      <c r="P33" s="45">
        <f t="shared" si="10"/>
        <v>-4459.2877340456707</v>
      </c>
      <c r="Q33" s="40" t="str">
        <f t="shared" si="11"/>
        <v>neg</v>
      </c>
      <c r="R33" s="46"/>
      <c r="S33" s="6"/>
      <c r="T33" s="6"/>
      <c r="U33" s="6"/>
      <c r="V33" s="6"/>
      <c r="W33" s="124"/>
      <c r="X33" s="124"/>
      <c r="Y33" s="124"/>
      <c r="Z33" s="107"/>
      <c r="AB33" s="6"/>
    </row>
    <row r="34" spans="2:28" s="4" customFormat="1" ht="12.75" x14ac:dyDescent="0.2">
      <c r="B34" s="31">
        <f t="shared" si="14"/>
        <v>12</v>
      </c>
      <c r="C34" s="42">
        <f t="shared" si="1"/>
        <v>6019.2</v>
      </c>
      <c r="D34" s="43">
        <f t="shared" si="2"/>
        <v>0.06</v>
      </c>
      <c r="E34" s="42">
        <f t="shared" si="3"/>
        <v>235.29599999999999</v>
      </c>
      <c r="F34" s="42">
        <f t="shared" si="0"/>
        <v>0</v>
      </c>
      <c r="G34" s="34">
        <f t="shared" si="4"/>
        <v>-495.40193521270839</v>
      </c>
      <c r="H34" s="44">
        <f t="shared" si="5"/>
        <v>-60</v>
      </c>
      <c r="I34" s="45">
        <f t="shared" si="6"/>
        <v>670.69793521270844</v>
      </c>
      <c r="J34" s="123">
        <v>0</v>
      </c>
      <c r="K34" s="34">
        <f t="shared" si="12"/>
        <v>0</v>
      </c>
      <c r="L34" s="47">
        <f t="shared" si="7"/>
        <v>0</v>
      </c>
      <c r="M34" s="45">
        <f t="shared" si="8"/>
        <v>670.69793521270844</v>
      </c>
      <c r="N34" s="39">
        <f t="shared" si="13"/>
        <v>0</v>
      </c>
      <c r="O34" s="39">
        <f t="shared" si="9"/>
        <v>0</v>
      </c>
      <c r="P34" s="45">
        <f t="shared" si="10"/>
        <v>-3788.5897988329625</v>
      </c>
      <c r="Q34" s="40" t="str">
        <f t="shared" si="11"/>
        <v>neg</v>
      </c>
      <c r="R34" s="46"/>
      <c r="S34" s="19"/>
      <c r="T34" s="6"/>
      <c r="U34" s="6"/>
      <c r="W34" s="124"/>
      <c r="X34" s="124"/>
      <c r="Y34" s="124"/>
      <c r="Z34" s="107"/>
      <c r="AB34" s="6"/>
    </row>
    <row r="35" spans="2:28" s="4" customFormat="1" ht="12.75" x14ac:dyDescent="0.2">
      <c r="B35" s="31">
        <f t="shared" si="14"/>
        <v>13</v>
      </c>
      <c r="C35" s="42">
        <f t="shared" si="1"/>
        <v>5966.4000000000005</v>
      </c>
      <c r="D35" s="43">
        <f t="shared" si="2"/>
        <v>0.06</v>
      </c>
      <c r="E35" s="42">
        <f t="shared" si="3"/>
        <v>233.232</v>
      </c>
      <c r="F35" s="42">
        <f t="shared" si="0"/>
        <v>0</v>
      </c>
      <c r="G35" s="34">
        <f t="shared" si="4"/>
        <v>-503.33271180712234</v>
      </c>
      <c r="H35" s="44">
        <f t="shared" si="5"/>
        <v>-60</v>
      </c>
      <c r="I35" s="45">
        <f t="shared" si="6"/>
        <v>676.56471180712231</v>
      </c>
      <c r="J35" s="123">
        <v>0</v>
      </c>
      <c r="K35" s="34">
        <f t="shared" si="12"/>
        <v>0</v>
      </c>
      <c r="L35" s="47">
        <f t="shared" si="7"/>
        <v>0</v>
      </c>
      <c r="M35" s="45">
        <f t="shared" si="8"/>
        <v>676.56471180712231</v>
      </c>
      <c r="N35" s="39">
        <f t="shared" si="13"/>
        <v>0</v>
      </c>
      <c r="O35" s="39">
        <f t="shared" si="9"/>
        <v>0</v>
      </c>
      <c r="P35" s="45">
        <f t="shared" si="10"/>
        <v>-3112.0250870258401</v>
      </c>
      <c r="Q35" s="40" t="str">
        <f t="shared" si="11"/>
        <v>neg</v>
      </c>
      <c r="R35" s="46"/>
      <c r="S35" s="6"/>
      <c r="T35" s="6"/>
      <c r="U35" s="6"/>
      <c r="V35" s="6"/>
      <c r="W35" s="124"/>
      <c r="X35" s="124"/>
      <c r="Y35" s="124"/>
      <c r="Z35" s="107"/>
      <c r="AB35" s="6"/>
    </row>
    <row r="36" spans="2:28" s="4" customFormat="1" ht="12.75" x14ac:dyDescent="0.2">
      <c r="B36" s="31">
        <f t="shared" si="14"/>
        <v>14</v>
      </c>
      <c r="C36" s="42">
        <f t="shared" si="1"/>
        <v>5913.6</v>
      </c>
      <c r="D36" s="43">
        <f t="shared" si="2"/>
        <v>0.06</v>
      </c>
      <c r="E36" s="42">
        <f t="shared" si="3"/>
        <v>231.16800000000001</v>
      </c>
      <c r="F36" s="42">
        <f t="shared" si="0"/>
        <v>0</v>
      </c>
      <c r="G36" s="34">
        <f t="shared" si="4"/>
        <v>-511.35040102174912</v>
      </c>
      <c r="H36" s="44">
        <f t="shared" si="5"/>
        <v>-60</v>
      </c>
      <c r="I36" s="45">
        <f t="shared" si="6"/>
        <v>682.51840102174913</v>
      </c>
      <c r="J36" s="123">
        <v>0</v>
      </c>
      <c r="K36" s="34">
        <f t="shared" si="12"/>
        <v>0</v>
      </c>
      <c r="L36" s="47">
        <f t="shared" si="7"/>
        <v>0</v>
      </c>
      <c r="M36" s="45">
        <f t="shared" si="8"/>
        <v>682.51840102174913</v>
      </c>
      <c r="N36" s="39">
        <f t="shared" si="13"/>
        <v>0</v>
      </c>
      <c r="O36" s="39">
        <f t="shared" si="9"/>
        <v>0</v>
      </c>
      <c r="P36" s="45">
        <f t="shared" si="10"/>
        <v>-2429.5066860040911</v>
      </c>
      <c r="Q36" s="40" t="str">
        <f t="shared" si="11"/>
        <v>neg</v>
      </c>
      <c r="R36" s="46"/>
      <c r="S36" s="6"/>
      <c r="T36" s="6"/>
      <c r="U36" s="6"/>
      <c r="W36" s="124"/>
      <c r="X36" s="124"/>
      <c r="Y36" s="124"/>
      <c r="Z36" s="107"/>
      <c r="AB36" s="6"/>
    </row>
    <row r="37" spans="2:28" s="4" customFormat="1" ht="12.75" x14ac:dyDescent="0.2">
      <c r="B37" s="31">
        <f t="shared" si="14"/>
        <v>15</v>
      </c>
      <c r="C37" s="42">
        <f t="shared" si="1"/>
        <v>5860.8</v>
      </c>
      <c r="D37" s="43">
        <f t="shared" si="2"/>
        <v>0.06</v>
      </c>
      <c r="E37" s="42">
        <f t="shared" si="3"/>
        <v>229.10399999999998</v>
      </c>
      <c r="F37" s="42">
        <f t="shared" si="0"/>
        <v>0</v>
      </c>
      <c r="G37" s="34">
        <f t="shared" si="4"/>
        <v>-519.45439175222759</v>
      </c>
      <c r="H37" s="44">
        <f t="shared" si="5"/>
        <v>-60</v>
      </c>
      <c r="I37" s="45">
        <f t="shared" si="6"/>
        <v>688.55839175222764</v>
      </c>
      <c r="J37" s="123"/>
      <c r="K37" s="34">
        <f t="shared" si="12"/>
        <v>0</v>
      </c>
      <c r="L37" s="47">
        <f t="shared" si="7"/>
        <v>0</v>
      </c>
      <c r="M37" s="45">
        <f t="shared" si="8"/>
        <v>688.55839175222764</v>
      </c>
      <c r="N37" s="39">
        <f t="shared" si="13"/>
        <v>0</v>
      </c>
      <c r="O37" s="39">
        <f t="shared" si="9"/>
        <v>0</v>
      </c>
      <c r="P37" s="45">
        <f t="shared" si="10"/>
        <v>-1740.9482942518634</v>
      </c>
      <c r="Q37" s="40" t="str">
        <f t="shared" si="11"/>
        <v>neg</v>
      </c>
      <c r="R37" s="46"/>
      <c r="S37" s="6"/>
      <c r="T37" s="6"/>
      <c r="U37" s="6"/>
      <c r="V37" s="6"/>
      <c r="W37" s="124"/>
      <c r="X37" s="124"/>
      <c r="Y37" s="124"/>
      <c r="Z37" s="107"/>
      <c r="AB37" s="6"/>
    </row>
    <row r="38" spans="2:28" s="4" customFormat="1" ht="12.75" x14ac:dyDescent="0.2">
      <c r="B38" s="31">
        <f t="shared" si="14"/>
        <v>16</v>
      </c>
      <c r="C38" s="42">
        <f t="shared" si="1"/>
        <v>5808</v>
      </c>
      <c r="D38" s="43">
        <f t="shared" si="2"/>
        <v>0.06</v>
      </c>
      <c r="E38" s="42">
        <f t="shared" si="3"/>
        <v>227.04</v>
      </c>
      <c r="F38" s="42">
        <f t="shared" si="0"/>
        <v>0</v>
      </c>
      <c r="G38" s="34">
        <f t="shared" si="4"/>
        <v>-527.6439880185917</v>
      </c>
      <c r="H38" s="44">
        <f t="shared" si="5"/>
        <v>-60</v>
      </c>
      <c r="I38" s="45">
        <f t="shared" si="6"/>
        <v>694.68398801859166</v>
      </c>
      <c r="J38" s="123">
        <v>0</v>
      </c>
      <c r="K38" s="34">
        <f t="shared" si="12"/>
        <v>0</v>
      </c>
      <c r="L38" s="47">
        <f t="shared" si="7"/>
        <v>0</v>
      </c>
      <c r="M38" s="45">
        <f t="shared" si="8"/>
        <v>694.68398801859166</v>
      </c>
      <c r="N38" s="39">
        <f t="shared" si="13"/>
        <v>0</v>
      </c>
      <c r="O38" s="39">
        <f t="shared" si="9"/>
        <v>0</v>
      </c>
      <c r="P38" s="45">
        <f t="shared" si="10"/>
        <v>-1046.2643062332718</v>
      </c>
      <c r="Q38" s="40" t="str">
        <f t="shared" si="11"/>
        <v>neg</v>
      </c>
      <c r="R38" s="46"/>
      <c r="S38" s="19"/>
      <c r="T38" s="6"/>
      <c r="U38" s="6"/>
      <c r="W38" s="124"/>
      <c r="X38" s="124"/>
      <c r="Y38" s="124"/>
      <c r="Z38" s="107"/>
      <c r="AB38" s="6"/>
    </row>
    <row r="39" spans="2:28" s="4" customFormat="1" ht="12.75" x14ac:dyDescent="0.2">
      <c r="B39" s="31">
        <f t="shared" si="14"/>
        <v>17</v>
      </c>
      <c r="C39" s="42">
        <f t="shared" si="1"/>
        <v>5755.2</v>
      </c>
      <c r="D39" s="43">
        <f t="shared" si="2"/>
        <v>0.06</v>
      </c>
      <c r="E39" s="42">
        <f t="shared" si="3"/>
        <v>224.976</v>
      </c>
      <c r="F39" s="42">
        <f t="shared" si="0"/>
        <v>0</v>
      </c>
      <c r="G39" s="34">
        <f t="shared" si="4"/>
        <v>-535.91840510342854</v>
      </c>
      <c r="H39" s="44">
        <f t="shared" si="5"/>
        <v>-60</v>
      </c>
      <c r="I39" s="45">
        <f t="shared" si="6"/>
        <v>700.89440510342854</v>
      </c>
      <c r="J39" s="123">
        <v>0</v>
      </c>
      <c r="K39" s="34">
        <f t="shared" si="12"/>
        <v>0</v>
      </c>
      <c r="L39" s="47">
        <f t="shared" si="7"/>
        <v>0</v>
      </c>
      <c r="M39" s="45">
        <f t="shared" si="8"/>
        <v>700.89440510342854</v>
      </c>
      <c r="N39" s="39">
        <f t="shared" si="13"/>
        <v>0</v>
      </c>
      <c r="O39" s="39">
        <f t="shared" si="9"/>
        <v>0</v>
      </c>
      <c r="P39" s="45">
        <f t="shared" si="10"/>
        <v>-345.36990112984324</v>
      </c>
      <c r="Q39" s="40" t="str">
        <f t="shared" si="11"/>
        <v>neg</v>
      </c>
      <c r="R39" s="46"/>
      <c r="S39" s="6"/>
      <c r="T39" s="6"/>
      <c r="U39" s="6"/>
      <c r="V39" s="6"/>
      <c r="W39" s="124"/>
      <c r="X39" s="124"/>
      <c r="Y39" s="124"/>
      <c r="Z39" s="107"/>
      <c r="AB39" s="6"/>
    </row>
    <row r="40" spans="2:28" s="4" customFormat="1" ht="12.75" x14ac:dyDescent="0.2">
      <c r="B40" s="31">
        <f t="shared" si="14"/>
        <v>18</v>
      </c>
      <c r="C40" s="42">
        <f t="shared" si="1"/>
        <v>5702.4</v>
      </c>
      <c r="D40" s="43">
        <f t="shared" si="2"/>
        <v>0.06</v>
      </c>
      <c r="E40" s="42">
        <f t="shared" si="3"/>
        <v>222.91199999999998</v>
      </c>
      <c r="F40" s="42">
        <f t="shared" si="0"/>
        <v>0</v>
      </c>
      <c r="G40" s="34">
        <f t="shared" si="4"/>
        <v>-544.27676554999573</v>
      </c>
      <c r="H40" s="44">
        <f t="shared" si="5"/>
        <v>-60</v>
      </c>
      <c r="I40" s="45">
        <f t="shared" si="6"/>
        <v>707.18876554999565</v>
      </c>
      <c r="J40" s="123">
        <v>0</v>
      </c>
      <c r="K40" s="34">
        <f t="shared" si="12"/>
        <v>0</v>
      </c>
      <c r="L40" s="47">
        <f t="shared" si="7"/>
        <v>0</v>
      </c>
      <c r="M40" s="45">
        <f t="shared" si="8"/>
        <v>707.18876554999565</v>
      </c>
      <c r="N40" s="39">
        <f t="shared" si="13"/>
        <v>0</v>
      </c>
      <c r="O40" s="39">
        <f t="shared" si="9"/>
        <v>0</v>
      </c>
      <c r="P40" s="45">
        <f t="shared" si="10"/>
        <v>361.81886442015241</v>
      </c>
      <c r="Q40" s="40" t="str">
        <f t="shared" si="11"/>
        <v>pos</v>
      </c>
      <c r="R40" s="46"/>
      <c r="S40" s="6"/>
      <c r="T40" s="6"/>
      <c r="U40" s="6"/>
      <c r="W40" s="124"/>
      <c r="X40" s="124"/>
      <c r="Y40" s="124"/>
      <c r="Z40" s="107"/>
      <c r="AB40" s="6"/>
    </row>
    <row r="41" spans="2:28" s="4" customFormat="1" ht="12.75" x14ac:dyDescent="0.2">
      <c r="B41" s="31">
        <f t="shared" si="14"/>
        <v>19</v>
      </c>
      <c r="C41" s="42">
        <f t="shared" si="1"/>
        <v>5649.5999999999995</v>
      </c>
      <c r="D41" s="43">
        <f t="shared" si="2"/>
        <v>0.06</v>
      </c>
      <c r="E41" s="42">
        <f t="shared" si="3"/>
        <v>220.84799999999998</v>
      </c>
      <c r="F41" s="42">
        <f t="shared" si="0"/>
        <v>0</v>
      </c>
      <c r="G41" s="34">
        <f t="shared" si="4"/>
        <v>-552.71809501570169</v>
      </c>
      <c r="H41" s="44">
        <f t="shared" si="5"/>
        <v>-60</v>
      </c>
      <c r="I41" s="45">
        <f t="shared" si="6"/>
        <v>713.56609501570165</v>
      </c>
      <c r="J41" s="123">
        <v>0</v>
      </c>
      <c r="K41" s="34">
        <f t="shared" si="12"/>
        <v>0</v>
      </c>
      <c r="L41" s="47">
        <f t="shared" si="7"/>
        <v>0</v>
      </c>
      <c r="M41" s="45">
        <f t="shared" si="8"/>
        <v>713.56609501570165</v>
      </c>
      <c r="N41" s="39">
        <f t="shared" si="13"/>
        <v>0</v>
      </c>
      <c r="O41" s="39">
        <f t="shared" si="9"/>
        <v>0</v>
      </c>
      <c r="P41" s="45">
        <f t="shared" si="10"/>
        <v>1075.3849594358539</v>
      </c>
      <c r="Q41" s="40" t="str">
        <f t="shared" si="11"/>
        <v>pos</v>
      </c>
      <c r="R41" s="46"/>
      <c r="S41" s="6"/>
      <c r="T41" s="6"/>
      <c r="U41" s="6"/>
      <c r="V41" s="6"/>
      <c r="W41" s="124"/>
      <c r="X41" s="124"/>
      <c r="Y41" s="124"/>
      <c r="Z41" s="107"/>
      <c r="AB41" s="6"/>
    </row>
    <row r="42" spans="2:28" s="4" customFormat="1" ht="12.75" x14ac:dyDescent="0.2">
      <c r="B42" s="31">
        <f t="shared" si="14"/>
        <v>20</v>
      </c>
      <c r="C42" s="42">
        <f t="shared" si="1"/>
        <v>5596.8</v>
      </c>
      <c r="D42" s="43">
        <f t="shared" si="2"/>
        <v>0.06</v>
      </c>
      <c r="E42" s="42">
        <f t="shared" si="3"/>
        <v>218.78399999999999</v>
      </c>
      <c r="F42" s="42">
        <f t="shared" si="0"/>
        <v>0</v>
      </c>
      <c r="G42" s="34">
        <f t="shared" si="4"/>
        <v>-561.2413179762242</v>
      </c>
      <c r="H42" s="44">
        <f t="shared" si="5"/>
        <v>-60</v>
      </c>
      <c r="I42" s="45">
        <f t="shared" si="6"/>
        <v>720.02531797622419</v>
      </c>
      <c r="J42" s="123">
        <v>0</v>
      </c>
      <c r="K42" s="34">
        <f t="shared" si="12"/>
        <v>0</v>
      </c>
      <c r="L42" s="47">
        <f t="shared" si="7"/>
        <v>0</v>
      </c>
      <c r="M42" s="45">
        <f t="shared" si="8"/>
        <v>720.02531797622419</v>
      </c>
      <c r="N42" s="39">
        <f t="shared" si="13"/>
        <v>0</v>
      </c>
      <c r="O42" s="39">
        <f t="shared" si="9"/>
        <v>0</v>
      </c>
      <c r="P42" s="45">
        <f t="shared" si="10"/>
        <v>1795.4102774120781</v>
      </c>
      <c r="Q42" s="40" t="str">
        <f t="shared" si="11"/>
        <v>pos</v>
      </c>
      <c r="R42" s="46"/>
      <c r="S42" s="19"/>
      <c r="T42" s="6"/>
      <c r="U42" s="6"/>
      <c r="W42" s="124"/>
      <c r="X42" s="124"/>
      <c r="Y42" s="124"/>
      <c r="Z42" s="107"/>
      <c r="AB42" s="6"/>
    </row>
    <row r="43" spans="2:28" s="4" customFormat="1" ht="12.75" x14ac:dyDescent="0.2">
      <c r="B43" s="31">
        <f t="shared" si="14"/>
        <v>21</v>
      </c>
      <c r="C43" s="42">
        <f t="shared" si="1"/>
        <v>5544</v>
      </c>
      <c r="D43" s="43">
        <f t="shared" si="2"/>
        <v>0.06</v>
      </c>
      <c r="E43" s="42">
        <f t="shared" si="3"/>
        <v>216.72</v>
      </c>
      <c r="F43" s="42">
        <f t="shared" si="0"/>
        <v>0</v>
      </c>
      <c r="G43" s="34">
        <f t="shared" si="4"/>
        <v>-569.8452532753879</v>
      </c>
      <c r="H43" s="44">
        <f t="shared" si="5"/>
        <v>-60</v>
      </c>
      <c r="I43" s="45">
        <f t="shared" si="6"/>
        <v>726.56525327538793</v>
      </c>
      <c r="J43" s="123">
        <v>0</v>
      </c>
      <c r="K43" s="34">
        <f t="shared" si="12"/>
        <v>0</v>
      </c>
      <c r="L43" s="47">
        <f t="shared" si="7"/>
        <v>0</v>
      </c>
      <c r="M43" s="45">
        <f t="shared" si="8"/>
        <v>726.56525327538793</v>
      </c>
      <c r="N43" s="39">
        <f t="shared" si="13"/>
        <v>0</v>
      </c>
      <c r="O43" s="39">
        <f t="shared" si="9"/>
        <v>0</v>
      </c>
      <c r="P43" s="45">
        <f t="shared" si="10"/>
        <v>2521.9755306874658</v>
      </c>
      <c r="Q43" s="40" t="str">
        <f t="shared" si="11"/>
        <v>pos</v>
      </c>
      <c r="R43" s="46"/>
      <c r="S43" s="6"/>
      <c r="T43" s="6"/>
      <c r="U43" s="6"/>
      <c r="V43" s="6"/>
      <c r="W43" s="124"/>
      <c r="X43" s="124"/>
      <c r="Y43" s="124"/>
      <c r="Z43" s="107"/>
      <c r="AB43" s="6"/>
    </row>
    <row r="44" spans="2:28" s="4" customFormat="1" ht="12.75" x14ac:dyDescent="0.2">
      <c r="B44" s="31">
        <f t="shared" si="14"/>
        <v>22</v>
      </c>
      <c r="C44" s="42">
        <f t="shared" si="1"/>
        <v>5491.2</v>
      </c>
      <c r="D44" s="43">
        <f t="shared" si="2"/>
        <v>0.06</v>
      </c>
      <c r="E44" s="42">
        <f t="shared" si="3"/>
        <v>214.65599999999998</v>
      </c>
      <c r="F44" s="42">
        <f t="shared" si="0"/>
        <v>0</v>
      </c>
      <c r="G44" s="34">
        <f t="shared" si="4"/>
        <v>-578.52860951577475</v>
      </c>
      <c r="H44" s="44">
        <f t="shared" si="5"/>
        <v>-60</v>
      </c>
      <c r="I44" s="45">
        <f t="shared" si="6"/>
        <v>733.1846095157747</v>
      </c>
      <c r="J44" s="123">
        <v>0</v>
      </c>
      <c r="K44" s="34">
        <f t="shared" si="12"/>
        <v>0</v>
      </c>
      <c r="L44" s="47">
        <f t="shared" si="7"/>
        <v>0</v>
      </c>
      <c r="M44" s="45">
        <f t="shared" si="8"/>
        <v>733.1846095157747</v>
      </c>
      <c r="N44" s="39">
        <f t="shared" si="13"/>
        <v>0</v>
      </c>
      <c r="O44" s="39">
        <f t="shared" si="9"/>
        <v>0</v>
      </c>
      <c r="P44" s="45">
        <f t="shared" si="10"/>
        <v>3255.1601402032406</v>
      </c>
      <c r="Q44" s="40" t="str">
        <f t="shared" si="11"/>
        <v>pos</v>
      </c>
      <c r="R44" s="46"/>
      <c r="S44" s="6"/>
      <c r="T44" s="6"/>
      <c r="U44" s="6"/>
      <c r="W44" s="124"/>
      <c r="X44" s="124"/>
      <c r="Y44" s="124"/>
      <c r="Z44" s="107"/>
      <c r="AB44" s="6"/>
    </row>
    <row r="45" spans="2:28" s="4" customFormat="1" ht="12.75" x14ac:dyDescent="0.2">
      <c r="B45" s="31">
        <f t="shared" si="14"/>
        <v>23</v>
      </c>
      <c r="C45" s="42">
        <f t="shared" si="1"/>
        <v>5438.4000000000005</v>
      </c>
      <c r="D45" s="43">
        <f t="shared" si="2"/>
        <v>0.06</v>
      </c>
      <c r="E45" s="42">
        <f t="shared" si="3"/>
        <v>212.59200000000001</v>
      </c>
      <c r="F45" s="42">
        <f t="shared" si="0"/>
        <v>0</v>
      </c>
      <c r="G45" s="34">
        <f t="shared" si="4"/>
        <v>-587.28998028488388</v>
      </c>
      <c r="H45" s="44">
        <f t="shared" si="5"/>
        <v>-60</v>
      </c>
      <c r="I45" s="45">
        <f t="shared" si="6"/>
        <v>739.88198028488387</v>
      </c>
      <c r="J45" s="123">
        <v>0</v>
      </c>
      <c r="K45" s="34">
        <f t="shared" si="12"/>
        <v>0</v>
      </c>
      <c r="L45" s="47">
        <f t="shared" si="7"/>
        <v>0</v>
      </c>
      <c r="M45" s="45">
        <f t="shared" si="8"/>
        <v>739.88198028488387</v>
      </c>
      <c r="N45" s="39">
        <f t="shared" si="13"/>
        <v>0</v>
      </c>
      <c r="O45" s="39">
        <f t="shared" si="9"/>
        <v>0</v>
      </c>
      <c r="P45" s="45">
        <f t="shared" si="10"/>
        <v>3995.0421204881245</v>
      </c>
      <c r="Q45" s="40" t="str">
        <f t="shared" si="11"/>
        <v>pos</v>
      </c>
      <c r="R45" s="46"/>
      <c r="S45" s="6"/>
      <c r="T45" s="6"/>
      <c r="U45" s="6"/>
      <c r="V45" s="6"/>
      <c r="W45" s="124"/>
      <c r="X45" s="124"/>
      <c r="Y45" s="124"/>
      <c r="Z45" s="107"/>
      <c r="AB45" s="6"/>
    </row>
    <row r="46" spans="2:28" s="4" customFormat="1" ht="12.75" x14ac:dyDescent="0.2">
      <c r="B46" s="31">
        <f t="shared" si="14"/>
        <v>24</v>
      </c>
      <c r="C46" s="42">
        <f t="shared" si="1"/>
        <v>5385.6</v>
      </c>
      <c r="D46" s="43">
        <f t="shared" si="2"/>
        <v>0.06</v>
      </c>
      <c r="E46" s="42">
        <f t="shared" si="3"/>
        <v>210.52799999999999</v>
      </c>
      <c r="F46" s="42">
        <f t="shared" si="0"/>
        <v>0</v>
      </c>
      <c r="G46" s="34">
        <f t="shared" si="4"/>
        <v>-596.12783921150105</v>
      </c>
      <c r="H46" s="44">
        <f t="shared" si="5"/>
        <v>-60</v>
      </c>
      <c r="I46" s="45">
        <f t="shared" si="6"/>
        <v>746.65583921150107</v>
      </c>
      <c r="J46" s="123">
        <v>0</v>
      </c>
      <c r="K46" s="34">
        <f t="shared" si="12"/>
        <v>0</v>
      </c>
      <c r="L46" s="47">
        <f t="shared" si="7"/>
        <v>0</v>
      </c>
      <c r="M46" s="45">
        <f t="shared" si="8"/>
        <v>746.65583921150107</v>
      </c>
      <c r="N46" s="39">
        <f t="shared" si="13"/>
        <v>0</v>
      </c>
      <c r="O46" s="39">
        <f t="shared" si="9"/>
        <v>0</v>
      </c>
      <c r="P46" s="45">
        <f t="shared" si="10"/>
        <v>4741.6979596996252</v>
      </c>
      <c r="Q46" s="40" t="str">
        <f t="shared" si="11"/>
        <v>pos</v>
      </c>
      <c r="R46" s="46"/>
      <c r="S46" s="19"/>
      <c r="T46" s="6"/>
      <c r="U46" s="6"/>
      <c r="W46" s="124"/>
      <c r="X46" s="124"/>
      <c r="Y46" s="124"/>
      <c r="Z46" s="107"/>
      <c r="AB46" s="6"/>
    </row>
    <row r="47" spans="2:28" s="4" customFormat="1" ht="12.75" x14ac:dyDescent="0.2">
      <c r="B47" s="31">
        <f t="shared" si="14"/>
        <v>25</v>
      </c>
      <c r="C47" s="42">
        <f t="shared" si="1"/>
        <v>5332.8</v>
      </c>
      <c r="D47" s="43">
        <f t="shared" si="2"/>
        <v>0.06</v>
      </c>
      <c r="E47" s="42">
        <f t="shared" si="3"/>
        <v>208.464</v>
      </c>
      <c r="F47" s="42">
        <f t="shared" si="0"/>
        <v>0</v>
      </c>
      <c r="G47" s="34">
        <f t="shared" si="4"/>
        <v>-605.04053484677104</v>
      </c>
      <c r="H47" s="44">
        <f t="shared" si="5"/>
        <v>-60</v>
      </c>
      <c r="I47" s="45">
        <f t="shared" si="6"/>
        <v>753.50453484677109</v>
      </c>
      <c r="J47" s="123">
        <v>0</v>
      </c>
      <c r="K47" s="34">
        <f t="shared" si="12"/>
        <v>0</v>
      </c>
      <c r="L47" s="47">
        <f t="shared" si="7"/>
        <v>0</v>
      </c>
      <c r="M47" s="45">
        <f t="shared" si="8"/>
        <v>753.50453484677109</v>
      </c>
      <c r="N47" s="39">
        <f t="shared" si="13"/>
        <v>0</v>
      </c>
      <c r="O47" s="39">
        <f t="shared" si="9"/>
        <v>0</v>
      </c>
      <c r="P47" s="54">
        <f t="shared" si="10"/>
        <v>5495.2024945463963</v>
      </c>
      <c r="Q47" s="40" t="str">
        <f t="shared" si="11"/>
        <v>pos</v>
      </c>
      <c r="R47" s="46"/>
      <c r="S47" s="6"/>
      <c r="T47" s="6"/>
      <c r="U47" s="6"/>
      <c r="V47" s="6"/>
      <c r="W47" s="124"/>
      <c r="X47" s="124"/>
      <c r="Y47" s="124"/>
      <c r="Z47" s="107"/>
      <c r="AB47" s="6"/>
    </row>
    <row r="48" spans="2:28" s="4" customFormat="1" ht="13.5" thickBot="1" x14ac:dyDescent="0.25">
      <c r="B48" s="48"/>
      <c r="C48" s="49"/>
      <c r="D48" s="49"/>
      <c r="E48" s="49"/>
      <c r="F48" s="49"/>
      <c r="G48" s="50"/>
      <c r="H48" s="48"/>
      <c r="I48" s="51"/>
      <c r="J48" s="49"/>
      <c r="K48" s="50"/>
      <c r="L48" s="51"/>
      <c r="M48" s="51"/>
      <c r="N48" s="52"/>
      <c r="O48" s="52"/>
      <c r="P48" s="51"/>
      <c r="Q48" s="53"/>
      <c r="R48" s="18"/>
    </row>
    <row r="49" spans="2:22" s="4" customFormat="1" ht="12.75" x14ac:dyDescent="0.2">
      <c r="B49" s="65" t="s">
        <v>62</v>
      </c>
      <c r="C49" s="66">
        <f t="shared" ref="C49:L49" si="15">SUM(C22:C47)</f>
        <v>149160</v>
      </c>
      <c r="D49" s="66"/>
      <c r="E49" s="66">
        <f t="shared" si="15"/>
        <v>5830.7999999999993</v>
      </c>
      <c r="F49" s="66">
        <f t="shared" si="15"/>
        <v>0</v>
      </c>
      <c r="G49" s="67">
        <f>SUM(G22:G47)</f>
        <v>-12639.402494546399</v>
      </c>
      <c r="H49" s="68">
        <f t="shared" si="15"/>
        <v>-1500</v>
      </c>
      <c r="I49" s="69">
        <f t="shared" si="15"/>
        <v>16970.202494546396</v>
      </c>
      <c r="J49" s="66">
        <f t="shared" si="15"/>
        <v>-13500</v>
      </c>
      <c r="K49" s="128">
        <f t="shared" si="15"/>
        <v>2025</v>
      </c>
      <c r="L49" s="67">
        <f t="shared" si="15"/>
        <v>0</v>
      </c>
      <c r="M49" s="69">
        <f>SUM(M22:M48)</f>
        <v>5495.2024945463963</v>
      </c>
      <c r="N49" s="69">
        <f>SUM(N22:N48)</f>
        <v>0</v>
      </c>
      <c r="O49" s="70"/>
      <c r="P49" s="69"/>
      <c r="Q49" s="69"/>
      <c r="R49" s="55"/>
      <c r="S49" s="56"/>
    </row>
    <row r="50" spans="2:22" x14ac:dyDescent="0.25">
      <c r="M50" s="109"/>
    </row>
    <row r="51" spans="2:22" x14ac:dyDescent="0.25">
      <c r="E51" s="141"/>
      <c r="F51" s="140"/>
      <c r="G51" s="2"/>
      <c r="J51" s="142"/>
      <c r="K51" s="111"/>
      <c r="S51" s="3"/>
      <c r="T51" s="3"/>
      <c r="V51" s="1"/>
    </row>
    <row r="52" spans="2:22" x14ac:dyDescent="0.25">
      <c r="E52" s="141"/>
      <c r="F52" s="140"/>
      <c r="G52" s="2"/>
      <c r="J52" s="142"/>
      <c r="P52" s="111"/>
    </row>
    <row r="53" spans="2:22" x14ac:dyDescent="0.25">
      <c r="E53" s="141"/>
      <c r="F53" s="140"/>
      <c r="G53" s="2"/>
      <c r="I53" s="2"/>
      <c r="J53" s="142"/>
    </row>
    <row r="54" spans="2:22" x14ac:dyDescent="0.25">
      <c r="E54" s="141"/>
      <c r="F54" s="140"/>
      <c r="G54" s="2"/>
      <c r="J54" s="142"/>
    </row>
    <row r="55" spans="2:22" x14ac:dyDescent="0.25">
      <c r="E55" s="141"/>
      <c r="F55" s="140"/>
      <c r="G55" s="2"/>
      <c r="J55" s="142"/>
      <c r="L55" s="143"/>
    </row>
    <row r="56" spans="2:22" x14ac:dyDescent="0.25">
      <c r="E56" s="141"/>
      <c r="F56" s="140"/>
      <c r="G56" s="2"/>
      <c r="J56" s="142"/>
    </row>
    <row r="57" spans="2:22" x14ac:dyDescent="0.25">
      <c r="E57" s="141"/>
      <c r="F57" s="140"/>
      <c r="G57" s="2"/>
      <c r="J57" s="142"/>
    </row>
    <row r="58" spans="2:22" x14ac:dyDescent="0.25">
      <c r="E58" s="109"/>
      <c r="F58" s="140"/>
      <c r="G58" s="2"/>
      <c r="J58" s="142"/>
    </row>
    <row r="59" spans="2:22" x14ac:dyDescent="0.25">
      <c r="E59" s="109"/>
      <c r="F59" s="140"/>
      <c r="G59" s="2"/>
      <c r="J59" s="142"/>
    </row>
    <row r="60" spans="2:22" x14ac:dyDescent="0.25">
      <c r="E60" s="109"/>
      <c r="F60" s="140"/>
      <c r="G60" s="2"/>
      <c r="J60" s="142"/>
    </row>
    <row r="61" spans="2:22" x14ac:dyDescent="0.25">
      <c r="E61" s="109"/>
      <c r="F61" s="140"/>
      <c r="G61" s="2"/>
      <c r="J61" s="142"/>
    </row>
    <row r="62" spans="2:22" x14ac:dyDescent="0.25">
      <c r="E62" s="109"/>
      <c r="F62" s="140"/>
      <c r="G62" s="2"/>
      <c r="J62" s="142"/>
    </row>
    <row r="63" spans="2:22" x14ac:dyDescent="0.25">
      <c r="E63" s="109"/>
      <c r="F63" s="140"/>
      <c r="G63" s="2"/>
      <c r="J63" s="142"/>
      <c r="N63" s="139"/>
    </row>
    <row r="64" spans="2:22" x14ac:dyDescent="0.25">
      <c r="E64" s="109"/>
      <c r="F64" s="140"/>
      <c r="G64" s="2"/>
      <c r="J64" s="142"/>
    </row>
    <row r="65" spans="5:10" x14ac:dyDescent="0.25">
      <c r="E65" s="109"/>
      <c r="F65" s="140"/>
      <c r="G65" s="2"/>
      <c r="J65" s="142"/>
    </row>
    <row r="66" spans="5:10" x14ac:dyDescent="0.25">
      <c r="E66" s="109"/>
      <c r="F66" s="140"/>
      <c r="G66" s="2"/>
      <c r="J66" s="142"/>
    </row>
    <row r="67" spans="5:10" x14ac:dyDescent="0.25">
      <c r="E67" s="109"/>
      <c r="F67" s="140"/>
      <c r="G67" s="2"/>
      <c r="J67" s="142"/>
    </row>
    <row r="68" spans="5:10" x14ac:dyDescent="0.25">
      <c r="E68" s="109"/>
      <c r="F68" s="140"/>
      <c r="G68" s="2"/>
      <c r="J68" s="142"/>
    </row>
    <row r="69" spans="5:10" x14ac:dyDescent="0.25">
      <c r="E69" s="109"/>
      <c r="F69" s="140"/>
      <c r="G69" s="2"/>
      <c r="J69" s="142"/>
    </row>
    <row r="70" spans="5:10" x14ac:dyDescent="0.25">
      <c r="E70" s="109"/>
      <c r="F70" s="140"/>
      <c r="G70" s="2"/>
      <c r="J70" s="142"/>
    </row>
    <row r="71" spans="5:10" x14ac:dyDescent="0.25">
      <c r="E71" s="109"/>
      <c r="F71" s="140"/>
      <c r="G71" s="2"/>
      <c r="J71" s="142"/>
    </row>
    <row r="72" spans="5:10" x14ac:dyDescent="0.25">
      <c r="E72" s="109"/>
      <c r="F72" s="140"/>
      <c r="G72" s="2"/>
      <c r="J72" s="142"/>
    </row>
    <row r="73" spans="5:10" x14ac:dyDescent="0.25">
      <c r="E73" s="109"/>
      <c r="F73" s="140"/>
      <c r="G73" s="2"/>
      <c r="J73" s="142"/>
    </row>
    <row r="74" spans="5:10" x14ac:dyDescent="0.25">
      <c r="E74" s="109"/>
      <c r="F74" s="140"/>
      <c r="G74" s="2"/>
      <c r="J74" s="142"/>
    </row>
    <row r="75" spans="5:10" x14ac:dyDescent="0.25">
      <c r="E75" s="109"/>
      <c r="F75" s="140"/>
      <c r="G75" s="2"/>
      <c r="J75" s="142"/>
    </row>
    <row r="76" spans="5:10" x14ac:dyDescent="0.25">
      <c r="E76" s="109"/>
    </row>
    <row r="77" spans="5:10" x14ac:dyDescent="0.25">
      <c r="E77" s="109"/>
      <c r="G77" s="2"/>
    </row>
    <row r="78" spans="5:10" x14ac:dyDescent="0.25">
      <c r="E78" s="109"/>
    </row>
    <row r="79" spans="5:10" x14ac:dyDescent="0.25">
      <c r="E79" s="109"/>
    </row>
    <row r="80" spans="5:10" x14ac:dyDescent="0.25">
      <c r="E80" s="109"/>
    </row>
    <row r="81" spans="5:5" x14ac:dyDescent="0.25">
      <c r="E81" s="109"/>
    </row>
    <row r="82" spans="5:5" x14ac:dyDescent="0.25">
      <c r="E82" s="109"/>
    </row>
    <row r="83" spans="5:5" x14ac:dyDescent="0.25">
      <c r="E83" s="109"/>
    </row>
    <row r="84" spans="5:5" x14ac:dyDescent="0.25">
      <c r="E84" s="109"/>
    </row>
    <row r="85" spans="5:5" x14ac:dyDescent="0.25">
      <c r="E85" s="109"/>
    </row>
    <row r="86" spans="5:5" x14ac:dyDescent="0.25">
      <c r="E86" s="109"/>
    </row>
    <row r="87" spans="5:5" x14ac:dyDescent="0.25">
      <c r="E87" s="109"/>
    </row>
    <row r="88" spans="5:5" x14ac:dyDescent="0.25">
      <c r="E88" s="109"/>
    </row>
    <row r="89" spans="5:5" x14ac:dyDescent="0.25">
      <c r="E89" s="109"/>
    </row>
    <row r="90" spans="5:5" x14ac:dyDescent="0.25">
      <c r="E90" s="109"/>
    </row>
    <row r="91" spans="5:5" x14ac:dyDescent="0.25">
      <c r="E91" s="109"/>
    </row>
    <row r="92" spans="5:5" x14ac:dyDescent="0.25">
      <c r="E92" s="109"/>
    </row>
    <row r="93" spans="5:5" x14ac:dyDescent="0.25">
      <c r="E93" s="109"/>
    </row>
    <row r="94" spans="5:5" x14ac:dyDescent="0.25">
      <c r="E94" s="109"/>
    </row>
    <row r="95" spans="5:5" x14ac:dyDescent="0.25">
      <c r="E95" s="109"/>
    </row>
    <row r="96" spans="5:5" x14ac:dyDescent="0.25">
      <c r="E96" s="109"/>
    </row>
    <row r="97" spans="5:5" x14ac:dyDescent="0.25">
      <c r="E97" s="109"/>
    </row>
    <row r="98" spans="5:5" x14ac:dyDescent="0.25">
      <c r="E98" s="109"/>
    </row>
    <row r="99" spans="5:5" x14ac:dyDescent="0.25">
      <c r="E99" s="109"/>
    </row>
    <row r="100" spans="5:5" x14ac:dyDescent="0.25">
      <c r="E100" s="109"/>
    </row>
    <row r="101" spans="5:5" x14ac:dyDescent="0.25">
      <c r="E101" s="109"/>
    </row>
    <row r="102" spans="5:5" x14ac:dyDescent="0.25">
      <c r="E102" s="109"/>
    </row>
    <row r="103" spans="5:5" x14ac:dyDescent="0.25">
      <c r="E103" s="109"/>
    </row>
    <row r="104" spans="5:5" x14ac:dyDescent="0.25">
      <c r="E104" s="109"/>
    </row>
    <row r="105" spans="5:5" x14ac:dyDescent="0.25">
      <c r="E105" s="109"/>
    </row>
    <row r="106" spans="5:5" x14ac:dyDescent="0.25">
      <c r="E106" s="109"/>
    </row>
    <row r="107" spans="5:5" x14ac:dyDescent="0.25">
      <c r="E107" s="109"/>
    </row>
    <row r="108" spans="5:5" x14ac:dyDescent="0.25">
      <c r="E108" s="109"/>
    </row>
    <row r="109" spans="5:5" x14ac:dyDescent="0.25">
      <c r="E109" s="109"/>
    </row>
    <row r="110" spans="5:5" x14ac:dyDescent="0.25">
      <c r="E110" s="109"/>
    </row>
    <row r="111" spans="5:5" x14ac:dyDescent="0.25">
      <c r="E111" s="109"/>
    </row>
    <row r="112" spans="5:5" x14ac:dyDescent="0.25">
      <c r="E112" s="109"/>
    </row>
    <row r="113" spans="5:5" x14ac:dyDescent="0.25">
      <c r="E113" s="109"/>
    </row>
    <row r="114" spans="5:5" x14ac:dyDescent="0.25">
      <c r="E114" s="109"/>
    </row>
    <row r="115" spans="5:5" x14ac:dyDescent="0.25">
      <c r="E115" s="109"/>
    </row>
    <row r="116" spans="5:5" x14ac:dyDescent="0.25">
      <c r="E116" s="109"/>
    </row>
    <row r="117" spans="5:5" x14ac:dyDescent="0.25">
      <c r="E117" s="109"/>
    </row>
    <row r="118" spans="5:5" x14ac:dyDescent="0.25">
      <c r="E118" s="109"/>
    </row>
    <row r="119" spans="5:5" x14ac:dyDescent="0.25">
      <c r="E119" s="109"/>
    </row>
    <row r="120" spans="5:5" x14ac:dyDescent="0.25">
      <c r="E120" s="109"/>
    </row>
    <row r="121" spans="5:5" x14ac:dyDescent="0.25">
      <c r="E121" s="109"/>
    </row>
    <row r="122" spans="5:5" x14ac:dyDescent="0.25">
      <c r="E122" s="109"/>
    </row>
    <row r="123" spans="5:5" x14ac:dyDescent="0.25">
      <c r="E123" s="109"/>
    </row>
    <row r="124" spans="5:5" x14ac:dyDescent="0.25">
      <c r="E124" s="109"/>
    </row>
    <row r="125" spans="5:5" x14ac:dyDescent="0.25">
      <c r="E125" s="109"/>
    </row>
    <row r="126" spans="5:5" x14ac:dyDescent="0.25">
      <c r="E126" s="109"/>
    </row>
  </sheetData>
  <sheetProtection selectLockedCells="1"/>
  <dataConsolidate/>
  <mergeCells count="1">
    <mergeCell ref="A1:U1"/>
  </mergeCells>
  <phoneticPr fontId="9" type="noConversion"/>
  <conditionalFormatting sqref="B198:C12280 B12320:E33368">
    <cfRule type="expression" dxfId="334" priority="12" stopIfTrue="1">
      <formula>AND(S198="neg")</formula>
    </cfRule>
  </conditionalFormatting>
  <conditionalFormatting sqref="AD21:IV49 F21:L49">
    <cfRule type="expression" dxfId="333" priority="13" stopIfTrue="1">
      <formula>AND(W422="neg")</formula>
    </cfRule>
  </conditionalFormatting>
  <conditionalFormatting sqref="AD2:IV12456">
    <cfRule type="expression" dxfId="332" priority="14" stopIfTrue="1">
      <formula>AND(CV2="neg")</formula>
    </cfRule>
  </conditionalFormatting>
  <conditionalFormatting sqref="G6:H8 I8 J6:J8">
    <cfRule type="expression" dxfId="331" priority="15" stopIfTrue="1">
      <formula>AND(Q69="neg")</formula>
    </cfRule>
  </conditionalFormatting>
  <conditionalFormatting sqref="S22:T23 S29:T47">
    <cfRule type="expression" dxfId="330" priority="16" stopIfTrue="1">
      <formula>AND(AH425="neg")</formula>
    </cfRule>
  </conditionalFormatting>
  <conditionalFormatting sqref="S22:T23">
    <cfRule type="expression" dxfId="329" priority="17" stopIfTrue="1">
      <formula>AND(AG83="neg")</formula>
    </cfRule>
  </conditionalFormatting>
  <conditionalFormatting sqref="S26">
    <cfRule type="expression" dxfId="328" priority="18" stopIfTrue="1">
      <formula>AND(AB397="neg")</formula>
    </cfRule>
  </conditionalFormatting>
  <conditionalFormatting sqref="S26">
    <cfRule type="expression" dxfId="327" priority="19" stopIfTrue="1">
      <formula>AND(AA55="neg")</formula>
    </cfRule>
  </conditionalFormatting>
  <conditionalFormatting sqref="S28 S24">
    <cfRule type="expression" dxfId="326" priority="20" stopIfTrue="1">
      <formula>AND(AB389="neg")</formula>
    </cfRule>
  </conditionalFormatting>
  <conditionalFormatting sqref="S28">
    <cfRule type="expression" dxfId="325" priority="21" stopIfTrue="1">
      <formula>AND(AA51="neg")</formula>
    </cfRule>
  </conditionalFormatting>
  <conditionalFormatting sqref="R2:U2 R4:U4 R6:U11">
    <cfRule type="expression" dxfId="324" priority="22" stopIfTrue="1">
      <formula>AND(W390="neg")</formula>
    </cfRule>
  </conditionalFormatting>
  <conditionalFormatting sqref="L14:O14">
    <cfRule type="expression" dxfId="323" priority="23" stopIfTrue="1">
      <formula>AND(W409="neg")</formula>
    </cfRule>
  </conditionalFormatting>
  <conditionalFormatting sqref="L14:O14">
    <cfRule type="expression" dxfId="322" priority="24" stopIfTrue="1">
      <formula>AND(V67="neg")</formula>
    </cfRule>
  </conditionalFormatting>
  <conditionalFormatting sqref="L3:O6">
    <cfRule type="expression" dxfId="321" priority="25" stopIfTrue="1">
      <formula>AND(Q74="neg")</formula>
    </cfRule>
  </conditionalFormatting>
  <conditionalFormatting sqref="M3:O6">
    <cfRule type="expression" dxfId="320" priority="26" stopIfTrue="1">
      <formula>AND(S416="neg")</formula>
    </cfRule>
  </conditionalFormatting>
  <conditionalFormatting sqref="R5:U5">
    <cfRule type="expression" dxfId="319" priority="27" stopIfTrue="1">
      <formula>AND(W391="neg")</formula>
    </cfRule>
  </conditionalFormatting>
  <conditionalFormatting sqref="R5:U5">
    <cfRule type="expression" dxfId="318" priority="28" stopIfTrue="1">
      <formula>AND(U49="neg")</formula>
    </cfRule>
  </conditionalFormatting>
  <conditionalFormatting sqref="F20 AD20:IV20 K20:W20">
    <cfRule type="expression" dxfId="317" priority="29" stopIfTrue="1">
      <formula>AND(V412="neg")</formula>
    </cfRule>
  </conditionalFormatting>
  <conditionalFormatting sqref="F20 AD20:IV20 K20:W20">
    <cfRule type="expression" dxfId="316" priority="30" stopIfTrue="1">
      <formula>AND(U70="neg")</formula>
    </cfRule>
  </conditionalFormatting>
  <conditionalFormatting sqref="F18:F19 K18:K19 AD18:IV19 C5:E5 C10:E10">
    <cfRule type="expression" dxfId="315" priority="31" stopIfTrue="1">
      <formula>AND(S396="neg")</formula>
    </cfRule>
  </conditionalFormatting>
  <conditionalFormatting sqref="F18:F19 K18:K19 AD18:IV19 B5:D5 B10:E10">
    <cfRule type="expression" dxfId="314" priority="32" stopIfTrue="1">
      <formula>AND(Q54="neg")</formula>
    </cfRule>
  </conditionalFormatting>
  <conditionalFormatting sqref="G2">
    <cfRule type="expression" dxfId="313" priority="33" stopIfTrue="1">
      <formula>AND(W381="neg")</formula>
    </cfRule>
  </conditionalFormatting>
  <conditionalFormatting sqref="G19:J19 G15:J16 C7:E9">
    <cfRule type="expression" dxfId="312" priority="34" stopIfTrue="1">
      <formula>AND(S397="neg")</formula>
    </cfRule>
  </conditionalFormatting>
  <conditionalFormatting sqref="G19:J19 G15:J16 B7:E9">
    <cfRule type="expression" dxfId="311" priority="35" stopIfTrue="1">
      <formula>AND(Q55="neg")</formula>
    </cfRule>
  </conditionalFormatting>
  <conditionalFormatting sqref="H6:H8 I8 J6:J8">
    <cfRule type="expression" dxfId="310" priority="36" stopIfTrue="1">
      <formula>AND(S411="neg")</formula>
    </cfRule>
  </conditionalFormatting>
  <conditionalFormatting sqref="B21 C21:E47">
    <cfRule type="expression" dxfId="309" priority="37" stopIfTrue="1">
      <formula>AND(Q80="neg")</formula>
    </cfRule>
  </conditionalFormatting>
  <conditionalFormatting sqref="HA20:IV20">
    <cfRule type="expression" dxfId="308" priority="38" stopIfTrue="1">
      <formula>AND(GF1045312="neg")</formula>
    </cfRule>
  </conditionalFormatting>
  <conditionalFormatting sqref="HA18:IV19">
    <cfRule type="expression" dxfId="307" priority="39" stopIfTrue="1">
      <formula>AND(GF1045309="neg")</formula>
    </cfRule>
  </conditionalFormatting>
  <conditionalFormatting sqref="H3:J3">
    <cfRule type="expression" dxfId="306" priority="40" stopIfTrue="1">
      <formula>AND(S392="neg")</formula>
    </cfRule>
  </conditionalFormatting>
  <conditionalFormatting sqref="G3:J3">
    <cfRule type="expression" dxfId="305" priority="41" stopIfTrue="1">
      <formula>AND(Q50="neg")</formula>
    </cfRule>
  </conditionalFormatting>
  <conditionalFormatting sqref="B2">
    <cfRule type="expression" dxfId="304" priority="42" stopIfTrue="1">
      <formula>AND(Q59="neg")</formula>
    </cfRule>
  </conditionalFormatting>
  <conditionalFormatting sqref="F2:F9 K2:K9 C3:E3 AD1:IR9 F13 K13 IG10:IR12 AD13:IF13">
    <cfRule type="expression" dxfId="303" priority="43" stopIfTrue="1">
      <formula>AND(S389="neg")</formula>
    </cfRule>
  </conditionalFormatting>
  <conditionalFormatting sqref="V8:V9 AA2:AC9 V1:AC1 Z2:Z4 V13">
    <cfRule type="expression" dxfId="302" priority="44" stopIfTrue="1">
      <formula>AND(AH47="neg")</formula>
    </cfRule>
  </conditionalFormatting>
  <conditionalFormatting sqref="H4:J5">
    <cfRule type="expression" dxfId="301" priority="45" stopIfTrue="1">
      <formula>AND(S405="neg")</formula>
    </cfRule>
  </conditionalFormatting>
  <conditionalFormatting sqref="G4:J5">
    <cfRule type="expression" dxfId="300" priority="46" stopIfTrue="1">
      <formula>AND(Q63="neg")</formula>
    </cfRule>
  </conditionalFormatting>
  <conditionalFormatting sqref="S25">
    <cfRule type="expression" dxfId="299" priority="47" stopIfTrue="1">
      <formula>AND(AB392="neg")</formula>
    </cfRule>
  </conditionalFormatting>
  <conditionalFormatting sqref="S25">
    <cfRule type="expression" dxfId="298" priority="48" stopIfTrue="1">
      <formula>AND(AA50="neg")</formula>
    </cfRule>
  </conditionalFormatting>
  <conditionalFormatting sqref="T24:U28">
    <cfRule type="expression" dxfId="297" priority="49" stopIfTrue="1">
      <formula>AND(AF391="neg")</formula>
    </cfRule>
  </conditionalFormatting>
  <conditionalFormatting sqref="L2">
    <cfRule type="expression" dxfId="296" priority="50" stopIfTrue="1">
      <formula>AND(V59="neg")</formula>
    </cfRule>
  </conditionalFormatting>
  <conditionalFormatting sqref="B22:B47">
    <cfRule type="expression" dxfId="295" priority="51" stopIfTrue="1">
      <formula>AND(Q22="neg")</formula>
    </cfRule>
  </conditionalFormatting>
  <conditionalFormatting sqref="AH50:AH52 AD50:AD54 AI50:IV389 AD78:AH389 AE50:AG57 M51:M389 L50:L389 K52:K53 K55:K389 F50:K50 F51:G75 F76:J389 I51:J75 C21:E389">
    <cfRule type="expression" dxfId="294" priority="52" stopIfTrue="1">
      <formula>AND(S422="neg")</formula>
    </cfRule>
  </conditionalFormatting>
  <conditionalFormatting sqref="AD21:IV47 F21:F22 G21:J47 L21:M47 K21:K23">
    <cfRule type="expression" dxfId="293" priority="53" stopIfTrue="1">
      <formula>AND(V80="neg")</formula>
    </cfRule>
  </conditionalFormatting>
  <conditionalFormatting sqref="HA50:IV62268">
    <cfRule type="expression" dxfId="292" priority="54" stopIfTrue="1">
      <formula>AND(GF1045351="neg")</formula>
    </cfRule>
  </conditionalFormatting>
  <conditionalFormatting sqref="GZ21:IV49">
    <cfRule type="expression" dxfId="291" priority="55" stopIfTrue="1">
      <formula>AND(GF1045322="neg")</formula>
    </cfRule>
  </conditionalFormatting>
  <conditionalFormatting sqref="F2:F9 B3:E3 AD1:IR9">
    <cfRule type="expression" dxfId="290" priority="56" stopIfTrue="1">
      <formula>AND(P47="neg")</formula>
    </cfRule>
  </conditionalFormatting>
  <conditionalFormatting sqref="T24:U28">
    <cfRule type="expression" dxfId="289" priority="57" stopIfTrue="1">
      <formula>AND(AD49="neg")</formula>
    </cfRule>
  </conditionalFormatting>
  <conditionalFormatting sqref="L15:O18 H13:J13">
    <cfRule type="expression" dxfId="288" priority="58" stopIfTrue="1">
      <formula>AND(S409="neg")</formula>
    </cfRule>
  </conditionalFormatting>
  <conditionalFormatting sqref="L15:O18 G13:J13">
    <cfRule type="expression" dxfId="287" priority="59" stopIfTrue="1">
      <formula>AND(Q67="neg")</formula>
    </cfRule>
  </conditionalFormatting>
  <conditionalFormatting sqref="C4:E4 F10:F12 K10:K12 AD10:IF12 C6:E6">
    <cfRule type="expression" dxfId="286" priority="60" stopIfTrue="1">
      <formula>AND(S393="neg")</formula>
    </cfRule>
  </conditionalFormatting>
  <conditionalFormatting sqref="B4:E4 F10:F12 K10:K12 AD10:IG12 B6:E6">
    <cfRule type="expression" dxfId="285" priority="61" stopIfTrue="1">
      <formula>AND(Q51="neg")</formula>
    </cfRule>
  </conditionalFormatting>
  <conditionalFormatting sqref="R4:U4 R6:U11">
    <cfRule type="expression" dxfId="284" priority="62" stopIfTrue="1">
      <formula>AND(V50="neg")</formula>
    </cfRule>
  </conditionalFormatting>
  <conditionalFormatting sqref="H9:J9">
    <cfRule type="expression" dxfId="283" priority="63" stopIfTrue="1">
      <formula>AND(S404="neg")</formula>
    </cfRule>
  </conditionalFormatting>
  <conditionalFormatting sqref="G9:J9">
    <cfRule type="expression" dxfId="282" priority="64" stopIfTrue="1">
      <formula>AND(Q62="neg")</formula>
    </cfRule>
  </conditionalFormatting>
  <conditionalFormatting sqref="F14:F17 K14:K17 G17:J18 AD14:IR17">
    <cfRule type="expression" dxfId="281" priority="65" stopIfTrue="1">
      <formula>AND(V403="neg")</formula>
    </cfRule>
  </conditionalFormatting>
  <conditionalFormatting sqref="F14:F17 K14:K17 G18:J18 AD14:IR17">
    <cfRule type="expression" dxfId="280" priority="66" stopIfTrue="1">
      <formula>AND(U61="neg")</formula>
    </cfRule>
  </conditionalFormatting>
  <conditionalFormatting sqref="HA1:IV1">
    <cfRule type="expression" dxfId="279" priority="67" stopIfTrue="1">
      <formula>AND(CZ1="neg")</formula>
    </cfRule>
  </conditionalFormatting>
  <conditionalFormatting sqref="B14:E15">
    <cfRule type="expression" dxfId="278" priority="68" stopIfTrue="1">
      <formula>AND(W401="neg")</formula>
    </cfRule>
  </conditionalFormatting>
  <conditionalFormatting sqref="B17:E18">
    <cfRule type="expression" dxfId="277" priority="69" stopIfTrue="1">
      <formula>AND(W403="neg")</formula>
    </cfRule>
  </conditionalFormatting>
  <conditionalFormatting sqref="B14:E15">
    <cfRule type="expression" dxfId="276" priority="70" stopIfTrue="1">
      <formula>AND(V59="neg")</formula>
    </cfRule>
  </conditionalFormatting>
  <conditionalFormatting sqref="B17:E18">
    <cfRule type="expression" dxfId="275" priority="71" stopIfTrue="1">
      <formula>AND(V61="neg")</formula>
    </cfRule>
  </conditionalFormatting>
  <conditionalFormatting sqref="B16:E16">
    <cfRule type="expression" dxfId="274" priority="72" stopIfTrue="1">
      <formula>AND(W408="neg")</formula>
    </cfRule>
  </conditionalFormatting>
  <conditionalFormatting sqref="B16:E16">
    <cfRule type="expression" dxfId="273" priority="73" stopIfTrue="1">
      <formula>AND(V66="neg")</formula>
    </cfRule>
  </conditionalFormatting>
  <conditionalFormatting sqref="AB22:AB47 AA21:AA47">
    <cfRule type="expression" dxfId="272" priority="74" stopIfTrue="1">
      <formula>AND(AL422="neg")</formula>
    </cfRule>
  </conditionalFormatting>
  <conditionalFormatting sqref="AA21:AA22 AB22">
    <cfRule type="expression" dxfId="271" priority="75" stopIfTrue="1">
      <formula>AND(CM21="neg")</formula>
    </cfRule>
  </conditionalFormatting>
  <conditionalFormatting sqref="AA21:AA22 AB22">
    <cfRule type="expression" dxfId="270" priority="76" stopIfTrue="1">
      <formula>AND(AK80="neg")</formula>
    </cfRule>
  </conditionalFormatting>
  <conditionalFormatting sqref="IS198:IV12280">
    <cfRule type="expression" dxfId="269" priority="77" stopIfTrue="1">
      <formula>AND(LH12280="neg")</formula>
    </cfRule>
  </conditionalFormatting>
  <conditionalFormatting sqref="HA198:IR12280">
    <cfRule type="expression" dxfId="268" priority="78" stopIfTrue="1">
      <formula>AND(JR12280="neg")</formula>
    </cfRule>
  </conditionalFormatting>
  <conditionalFormatting sqref="S21:T21 S48:T49 W49:Y49 U21:V23 AB21 AA48:AB49 Z21:Z49 O21:R49 AC21:AC49 U29:U49 V24:V49">
    <cfRule type="expression" dxfId="267" priority="79" stopIfTrue="1">
      <formula>AND(AD422="neg")</formula>
    </cfRule>
  </conditionalFormatting>
  <conditionalFormatting sqref="T50:AC12456 S48:T49 S21:T21 Z2:Z4 V48:V49 W49:Y49 U21:V23 AA2:AA20 AB2:AB21 Z20:Z21 AC2:AC49 Z48:AB49 U29:U49 T20:W20">
    <cfRule type="expression" dxfId="266" priority="80" stopIfTrue="1">
      <formula>AND(CI2="neg")</formula>
    </cfRule>
  </conditionalFormatting>
  <conditionalFormatting sqref="Z20:AC20">
    <cfRule type="expression" dxfId="265" priority="81" stopIfTrue="1">
      <formula>AND(AN412="neg")</formula>
    </cfRule>
  </conditionalFormatting>
  <conditionalFormatting sqref="Z20:AC20">
    <cfRule type="expression" dxfId="264" priority="82" stopIfTrue="1">
      <formula>AND(AM70="neg")</formula>
    </cfRule>
  </conditionalFormatting>
  <conditionalFormatting sqref="AA18:AC19 P18:U19">
    <cfRule type="expression" dxfId="263" priority="83" stopIfTrue="1">
      <formula>AND(AD409="neg")</formula>
    </cfRule>
  </conditionalFormatting>
  <conditionalFormatting sqref="AA18:AC19">
    <cfRule type="expression" dxfId="262" priority="84" stopIfTrue="1">
      <formula>AND(AN67="neg")</formula>
    </cfRule>
  </conditionalFormatting>
  <conditionalFormatting sqref="AA2:AC9 V1:AC1 Z2:Z4 P2:P9 P11:P12 AA13:AC13">
    <cfRule type="expression" dxfId="261" priority="85" stopIfTrue="1">
      <formula>AND(AD389="neg")</formula>
    </cfRule>
  </conditionalFormatting>
  <conditionalFormatting sqref="IS1:IV9 IS13:IV13">
    <cfRule type="expression" dxfId="260" priority="86" stopIfTrue="1">
      <formula>AND(JK389="neg")</formula>
    </cfRule>
  </conditionalFormatting>
  <conditionalFormatting sqref="S21:T21 U21:V23 Q21:Q22 Z21 AB21 AC21:AC47 P23:P47 P21 R21:R47 U29:U47">
    <cfRule type="expression" dxfId="259" priority="87" stopIfTrue="1">
      <formula>AND(AD80="neg")</formula>
    </cfRule>
  </conditionalFormatting>
  <conditionalFormatting sqref="IS1:IV9">
    <cfRule type="expression" dxfId="258" priority="88" stopIfTrue="1">
      <formula>AND(JI47="neg")</formula>
    </cfRule>
  </conditionalFormatting>
  <conditionalFormatting sqref="P13">
    <cfRule type="expression" dxfId="257" priority="89" stopIfTrue="1">
      <formula>AND(AD401="neg")</formula>
    </cfRule>
  </conditionalFormatting>
  <conditionalFormatting sqref="AA13:AC13">
    <cfRule type="expression" dxfId="256" priority="91" stopIfTrue="1">
      <formula>AND(AN59="neg")</formula>
    </cfRule>
  </conditionalFormatting>
  <conditionalFormatting sqref="IS13:IV13">
    <cfRule type="expression" dxfId="255" priority="92" stopIfTrue="1">
      <formula>AND(JJ59="neg")</formula>
    </cfRule>
  </conditionalFormatting>
  <conditionalFormatting sqref="AA14:AC17 AA10:AC12 P14:U17">
    <cfRule type="expression" dxfId="254" priority="93" stopIfTrue="1">
      <formula>AND(AD399="neg")</formula>
    </cfRule>
  </conditionalFormatting>
  <conditionalFormatting sqref="IS14:IV17 IS10:IV12">
    <cfRule type="expression" dxfId="253" priority="94" stopIfTrue="1">
      <formula>AND(JK399="neg")</formula>
    </cfRule>
  </conditionalFormatting>
  <conditionalFormatting sqref="AA14:AC17 AA10:AC12">
    <cfRule type="expression" dxfId="252" priority="95" stopIfTrue="1">
      <formula>AND(AN57="neg")</formula>
    </cfRule>
  </conditionalFormatting>
  <conditionalFormatting sqref="IS14:IV17 IS10:IV12">
    <cfRule type="expression" dxfId="251" priority="96" stopIfTrue="1">
      <formula>AND(JJ57="neg")</formula>
    </cfRule>
  </conditionalFormatting>
  <conditionalFormatting sqref="R2:U2">
    <cfRule type="expression" dxfId="250" priority="97" stopIfTrue="1">
      <formula>AND(U48="neg")</formula>
    </cfRule>
  </conditionalFormatting>
  <conditionalFormatting sqref="K2:K9">
    <cfRule type="expression" dxfId="249" priority="98" stopIfTrue="1">
      <formula>AND(Y47="neg")</formula>
    </cfRule>
  </conditionalFormatting>
  <conditionalFormatting sqref="V8:V19 V2">
    <cfRule type="expression" dxfId="248" priority="99" stopIfTrue="1">
      <formula>AND(CK2="neg")</formula>
    </cfRule>
  </conditionalFormatting>
  <conditionalFormatting sqref="V18:V19">
    <cfRule type="expression" dxfId="247" priority="100" stopIfTrue="1">
      <formula>AND(AI409="neg")</formula>
    </cfRule>
  </conditionalFormatting>
  <conditionalFormatting sqref="V18:V19">
    <cfRule type="expression" dxfId="246" priority="101" stopIfTrue="1">
      <formula>AND(AH67="neg")</formula>
    </cfRule>
  </conditionalFormatting>
  <conditionalFormatting sqref="V2 V8:V9 V13">
    <cfRule type="expression" dxfId="245" priority="102" stopIfTrue="1">
      <formula>AND(AI390="neg")</formula>
    </cfRule>
  </conditionalFormatting>
  <conditionalFormatting sqref="V2">
    <cfRule type="expression" dxfId="244" priority="103" stopIfTrue="1">
      <formula>AND(AG48="neg")</formula>
    </cfRule>
  </conditionalFormatting>
  <conditionalFormatting sqref="V14:V17 V10:V12">
    <cfRule type="expression" dxfId="243" priority="106" stopIfTrue="1">
      <formula>AND(AI399="neg")</formula>
    </cfRule>
  </conditionalFormatting>
  <conditionalFormatting sqref="V14:V17 V10:V12">
    <cfRule type="expression" dxfId="242" priority="107" stopIfTrue="1">
      <formula>AND(AH57="neg")</formula>
    </cfRule>
  </conditionalFormatting>
  <conditionalFormatting sqref="B13:E13">
    <cfRule type="expression" dxfId="241" priority="108" stopIfTrue="1">
      <formula>AND(W394="neg")</formula>
    </cfRule>
  </conditionalFormatting>
  <conditionalFormatting sqref="R3:U3">
    <cfRule type="expression" dxfId="240" priority="109" stopIfTrue="1">
      <formula>AND(W393="neg")</formula>
    </cfRule>
  </conditionalFormatting>
  <conditionalFormatting sqref="B13:D13">
    <cfRule type="expression" dxfId="239" priority="110" stopIfTrue="1">
      <formula>AND(V52="neg")</formula>
    </cfRule>
  </conditionalFormatting>
  <conditionalFormatting sqref="R3:T3">
    <cfRule type="expression" dxfId="238" priority="111" stopIfTrue="1">
      <formula>AND(V51="neg")</formula>
    </cfRule>
  </conditionalFormatting>
  <conditionalFormatting sqref="K51">
    <cfRule type="expression" dxfId="237" priority="112" stopIfTrue="1">
      <formula>AND(AA455="neg")</formula>
    </cfRule>
  </conditionalFormatting>
  <conditionalFormatting sqref="O18">
    <cfRule type="cellIs" dxfId="236" priority="113" stopIfTrue="1" operator="lessThan">
      <formula>$O$16</formula>
    </cfRule>
  </conditionalFormatting>
  <conditionalFormatting sqref="M21:N48">
    <cfRule type="expression" dxfId="235" priority="114" stopIfTrue="1">
      <formula>AND(#REF!="neg")</formula>
    </cfRule>
  </conditionalFormatting>
  <conditionalFormatting sqref="P18:U19">
    <cfRule type="expression" dxfId="234" priority="115" stopIfTrue="1">
      <formula>AND(#REF!="neg")</formula>
    </cfRule>
  </conditionalFormatting>
  <conditionalFormatting sqref="N50:AC389">
    <cfRule type="expression" dxfId="233" priority="116" stopIfTrue="1">
      <formula>AND(#REF!="neg")</formula>
    </cfRule>
  </conditionalFormatting>
  <conditionalFormatting sqref="N21:N22 O21:O47">
    <cfRule type="expression" dxfId="232" priority="117" stopIfTrue="1">
      <formula>AND(#REF!="neg")</formula>
    </cfRule>
  </conditionalFormatting>
  <conditionalFormatting sqref="P2:P9">
    <cfRule type="expression" dxfId="231" priority="118" stopIfTrue="1">
      <formula>AND(#REF!="neg")</formula>
    </cfRule>
  </conditionalFormatting>
  <conditionalFormatting sqref="P11:P13">
    <cfRule type="expression" dxfId="230" priority="119" stopIfTrue="1">
      <formula>AND(#REF!="neg")</formula>
    </cfRule>
  </conditionalFormatting>
  <conditionalFormatting sqref="P14:U17">
    <cfRule type="expression" dxfId="229" priority="120" stopIfTrue="1">
      <formula>AND(#REF!="neg")</formula>
    </cfRule>
  </conditionalFormatting>
  <conditionalFormatting sqref="M49:N49">
    <cfRule type="expression" dxfId="228" priority="121" stopIfTrue="1">
      <formula>AND(#REF!="neg")</formula>
    </cfRule>
  </conditionalFormatting>
  <conditionalFormatting sqref="I7">
    <cfRule type="expression" dxfId="227" priority="122" stopIfTrue="1">
      <formula>$I$7&lt;0</formula>
    </cfRule>
  </conditionalFormatting>
  <conditionalFormatting sqref="I7">
    <cfRule type="expression" dxfId="226" priority="123" stopIfTrue="1">
      <formula>($I$7&lt;0)</formula>
    </cfRule>
  </conditionalFormatting>
  <conditionalFormatting sqref="H52:H75">
    <cfRule type="expression" dxfId="225" priority="125" stopIfTrue="1">
      <formula>AND(X452="neg")</formula>
    </cfRule>
  </conditionalFormatting>
  <conditionalFormatting sqref="O9">
    <cfRule type="expression" dxfId="224" priority="11" stopIfTrue="1">
      <formula>AND(AF405="neg")</formula>
    </cfRule>
  </conditionalFormatting>
  <conditionalFormatting sqref="P10">
    <cfRule type="expression" dxfId="223" priority="9" stopIfTrue="1">
      <formula>AND(AD398="neg")</formula>
    </cfRule>
  </conditionalFormatting>
  <conditionalFormatting sqref="P10">
    <cfRule type="expression" dxfId="222" priority="10" stopIfTrue="1">
      <formula>AND(#REF!="neg")</formula>
    </cfRule>
  </conditionalFormatting>
  <conditionalFormatting sqref="H10:J11">
    <cfRule type="expression" dxfId="221" priority="146" stopIfTrue="1">
      <formula>AND(S407="neg")</formula>
    </cfRule>
  </conditionalFormatting>
  <conditionalFormatting sqref="G10:J11">
    <cfRule type="expression" dxfId="220" priority="148" stopIfTrue="1">
      <formula>AND(Q65="neg")</formula>
    </cfRule>
  </conditionalFormatting>
  <conditionalFormatting sqref="IG13:IR13">
    <cfRule type="expression" dxfId="219" priority="155" stopIfTrue="1">
      <formula>AND(IW400="neg")</formula>
    </cfRule>
  </conditionalFormatting>
  <conditionalFormatting sqref="F13 K13 IH10:IR12 AD13:IG13">
    <cfRule type="expression" dxfId="218" priority="160" stopIfTrue="1">
      <formula>AND(U56="neg")</formula>
    </cfRule>
  </conditionalFormatting>
  <conditionalFormatting sqref="IH13:IR13">
    <cfRule type="expression" dxfId="217" priority="164" stopIfTrue="1">
      <formula>AND(IW58="neg")</formula>
    </cfRule>
  </conditionalFormatting>
  <conditionalFormatting sqref="O11">
    <cfRule type="expression" dxfId="216" priority="7" stopIfTrue="1">
      <formula>AND(Z400="neg")</formula>
    </cfRule>
  </conditionalFormatting>
  <conditionalFormatting sqref="O11">
    <cfRule type="expression" dxfId="215" priority="8" stopIfTrue="1">
      <formula>AND(Y58="neg")</formula>
    </cfRule>
  </conditionalFormatting>
  <conditionalFormatting sqref="O10">
    <cfRule type="expression" dxfId="214" priority="5" stopIfTrue="1">
      <formula>AND(AE398="neg")</formula>
    </cfRule>
  </conditionalFormatting>
  <conditionalFormatting sqref="O10">
    <cfRule type="expression" dxfId="213" priority="6" stopIfTrue="1">
      <formula>AND(AC56="neg")</formula>
    </cfRule>
  </conditionalFormatting>
  <conditionalFormatting sqref="I6">
    <cfRule type="expression" dxfId="212" priority="3" stopIfTrue="1">
      <formula>$I$7&lt;0</formula>
    </cfRule>
  </conditionalFormatting>
  <conditionalFormatting sqref="I6">
    <cfRule type="expression" dxfId="211" priority="4" stopIfTrue="1">
      <formula>($I$7&lt;0)</formula>
    </cfRule>
  </conditionalFormatting>
  <conditionalFormatting sqref="R12:U12">
    <cfRule type="expression" dxfId="210" priority="1" stopIfTrue="1">
      <formula>AND(W400="neg")</formula>
    </cfRule>
  </conditionalFormatting>
  <conditionalFormatting sqref="R12:U12">
    <cfRule type="expression" dxfId="209" priority="2" stopIfTrue="1">
      <formula>AND(V58="neg")</formula>
    </cfRule>
  </conditionalFormatting>
  <dataValidations count="3">
    <dataValidation type="list" allowBlank="1" showInputMessage="1" showErrorMessage="1" sqref="O4">
      <formula1>"oui,non"</formula1>
    </dataValidation>
    <dataValidation type="list" allowBlank="1" showInputMessage="1" showErrorMessage="1" sqref="E4">
      <formula1>"Isolée,Ajoutée,Intégrée"</formula1>
    </dataValidation>
    <dataValidation type="list" allowBlank="1" showInputMessage="1" showErrorMessage="1" sqref="O9">
      <formula1>"RPC,RU,-"</formula1>
    </dataValidation>
  </dataValidations>
  <pageMargins left="0.17" right="0.17" top="0.6" bottom="0.53" header="0.5" footer="0.5"/>
  <pageSetup paperSize="9" scale="67" orientation="landscape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16" r:id="rId4" name="Button 644">
              <controlPr defaultSize="0" print="0" autoFill="0" autoPict="0" macro="[0]!exemple1">
                <anchor moveWithCells="1" sizeWithCells="1">
                  <from>
                    <xdr:col>22</xdr:col>
                    <xdr:colOff>1057275</xdr:colOff>
                    <xdr:row>19</xdr:row>
                    <xdr:rowOff>9525</xdr:rowOff>
                  </from>
                  <to>
                    <xdr:col>24</xdr:col>
                    <xdr:colOff>276225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4" r:id="rId5" name="Button 662">
              <controlPr defaultSize="0" print="0" autoFill="0" autoPict="0" macro="[0]!exemple2">
                <anchor moveWithCells="1" sizeWithCells="1">
                  <from>
                    <xdr:col>22</xdr:col>
                    <xdr:colOff>1057275</xdr:colOff>
                    <xdr:row>21</xdr:row>
                    <xdr:rowOff>76200</xdr:rowOff>
                  </from>
                  <to>
                    <xdr:col>24</xdr:col>
                    <xdr:colOff>276225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5" r:id="rId6" name="Button 663">
              <controlPr defaultSize="0" print="0" autoFill="0" autoPict="0" macro="[0]!exemple3">
                <anchor moveWithCells="1" sizeWithCells="1">
                  <from>
                    <xdr:col>22</xdr:col>
                    <xdr:colOff>1066800</xdr:colOff>
                    <xdr:row>25</xdr:row>
                    <xdr:rowOff>19050</xdr:rowOff>
                  </from>
                  <to>
                    <xdr:col>24</xdr:col>
                    <xdr:colOff>285750</xdr:colOff>
                    <xdr:row>27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R74"/>
  <sheetViews>
    <sheetView topLeftCell="B28" zoomScale="80" zoomScaleNormal="80" workbookViewId="0">
      <selection activeCell="M34" sqref="M34"/>
    </sheetView>
  </sheetViews>
  <sheetFormatPr baseColWidth="10" defaultRowHeight="15.75" outlineLevelRow="2" x14ac:dyDescent="0.25"/>
  <cols>
    <col min="1" max="1" width="20.625" customWidth="1"/>
    <col min="2" max="2" width="11.375" bestFit="1" customWidth="1"/>
    <col min="5" max="5" width="17.5" customWidth="1"/>
    <col min="6" max="6" width="11.75" customWidth="1"/>
  </cols>
  <sheetData>
    <row r="1" spans="1:16" x14ac:dyDescent="0.25">
      <c r="A1" s="188" t="s">
        <v>95</v>
      </c>
      <c r="B1" s="194"/>
      <c r="C1" s="194"/>
      <c r="D1" s="194"/>
      <c r="E1" s="193"/>
      <c r="F1" s="193"/>
      <c r="G1" s="193"/>
      <c r="H1" s="193"/>
      <c r="I1" s="193"/>
      <c r="J1" s="193"/>
      <c r="K1" s="193"/>
      <c r="L1" s="193"/>
      <c r="M1" s="193"/>
      <c r="N1" s="193"/>
      <c r="P1" s="5"/>
    </row>
    <row r="2" spans="1:16" x14ac:dyDescent="0.25">
      <c r="A2" s="179"/>
      <c r="B2" s="180"/>
      <c r="C2" s="180"/>
      <c r="D2" s="180" t="s">
        <v>114</v>
      </c>
      <c r="E2" s="165">
        <v>2</v>
      </c>
      <c r="F2" s="165">
        <v>3</v>
      </c>
      <c r="G2" s="165">
        <v>4</v>
      </c>
      <c r="H2" s="165">
        <v>5</v>
      </c>
      <c r="I2" s="165">
        <v>6</v>
      </c>
      <c r="J2" s="165">
        <v>7</v>
      </c>
      <c r="K2" s="165">
        <v>8</v>
      </c>
      <c r="L2" s="165">
        <v>9</v>
      </c>
      <c r="M2" s="165">
        <v>10</v>
      </c>
      <c r="N2" s="165">
        <v>11</v>
      </c>
      <c r="P2" s="5"/>
    </row>
    <row r="3" spans="1:16" x14ac:dyDescent="0.25">
      <c r="A3" s="179"/>
      <c r="B3" s="180"/>
      <c r="C3" s="180"/>
      <c r="D3" s="181"/>
      <c r="E3" s="180">
        <f t="shared" ref="E3:L3" si="0">IF(date_mise_en_service&gt;=E5,1,0)</f>
        <v>1</v>
      </c>
      <c r="F3" s="180">
        <f t="shared" si="0"/>
        <v>1</v>
      </c>
      <c r="G3" s="180">
        <f t="shared" si="0"/>
        <v>1</v>
      </c>
      <c r="H3" s="180">
        <f t="shared" si="0"/>
        <v>1</v>
      </c>
      <c r="I3" s="180">
        <f t="shared" si="0"/>
        <v>1</v>
      </c>
      <c r="J3" s="180">
        <f t="shared" si="0"/>
        <v>1</v>
      </c>
      <c r="K3" s="180">
        <f t="shared" si="0"/>
        <v>1</v>
      </c>
      <c r="L3" s="180">
        <f t="shared" si="0"/>
        <v>1</v>
      </c>
      <c r="M3" s="180">
        <f t="shared" ref="M3:N3" si="1">IF(date_mise_en_service&gt;=M5,1,0)</f>
        <v>0</v>
      </c>
      <c r="N3" s="180">
        <f t="shared" si="1"/>
        <v>0</v>
      </c>
      <c r="P3" s="5"/>
    </row>
    <row r="4" spans="1:16" x14ac:dyDescent="0.25">
      <c r="A4" s="179"/>
      <c r="B4" s="180"/>
      <c r="C4" s="180"/>
      <c r="D4" s="180"/>
      <c r="E4" s="180">
        <f t="shared" ref="E4:N4" si="2">IF(date_mise_en_service&lt;E5,1,0)</f>
        <v>0</v>
      </c>
      <c r="F4" s="180">
        <f t="shared" si="2"/>
        <v>0</v>
      </c>
      <c r="G4" s="5">
        <f t="shared" si="2"/>
        <v>0</v>
      </c>
      <c r="H4" s="5">
        <f t="shared" si="2"/>
        <v>0</v>
      </c>
      <c r="I4" s="5">
        <f t="shared" si="2"/>
        <v>0</v>
      </c>
      <c r="J4" s="5">
        <f t="shared" si="2"/>
        <v>0</v>
      </c>
      <c r="K4" s="5">
        <f t="shared" si="2"/>
        <v>0</v>
      </c>
      <c r="L4" s="5">
        <f t="shared" si="2"/>
        <v>0</v>
      </c>
      <c r="M4" s="5">
        <f t="shared" si="2"/>
        <v>1</v>
      </c>
      <c r="N4" s="5">
        <f t="shared" si="2"/>
        <v>1</v>
      </c>
      <c r="O4" s="204"/>
      <c r="P4" s="5"/>
    </row>
    <row r="5" spans="1:16" x14ac:dyDescent="0.25">
      <c r="A5" s="5" t="s">
        <v>32</v>
      </c>
      <c r="B5" s="210" t="s">
        <v>45</v>
      </c>
      <c r="C5" s="5"/>
      <c r="D5" s="5"/>
      <c r="E5" s="158">
        <v>1</v>
      </c>
      <c r="F5" s="158">
        <v>40179</v>
      </c>
      <c r="G5" s="158">
        <v>40544</v>
      </c>
      <c r="H5" s="158">
        <v>40909</v>
      </c>
      <c r="I5" s="158">
        <v>40969</v>
      </c>
      <c r="J5" s="158">
        <v>41183</v>
      </c>
      <c r="K5" s="158">
        <v>41275</v>
      </c>
      <c r="L5" s="158">
        <v>41640</v>
      </c>
      <c r="M5" s="228">
        <v>42095</v>
      </c>
      <c r="N5" s="211">
        <v>42278</v>
      </c>
      <c r="O5" s="206"/>
    </row>
    <row r="6" spans="1:16" outlineLevel="1" x14ac:dyDescent="0.25">
      <c r="A6" s="5" t="s">
        <v>33</v>
      </c>
      <c r="B6" s="5" t="s">
        <v>40</v>
      </c>
      <c r="C6" s="5" t="s">
        <v>29</v>
      </c>
      <c r="D6" s="5" t="str">
        <f t="shared" ref="D6:D20" si="3">CONCATENATE(A6,C6)</f>
        <v>AIsolée</v>
      </c>
      <c r="E6">
        <v>0</v>
      </c>
      <c r="F6">
        <v>0.53300000000000003</v>
      </c>
      <c r="G6">
        <v>0.42699999999999999</v>
      </c>
      <c r="H6">
        <v>0.39300000000000002</v>
      </c>
      <c r="I6">
        <v>0.36499999999999999</v>
      </c>
      <c r="J6">
        <v>0.33100000000000002</v>
      </c>
      <c r="K6">
        <v>0.30499999999999999</v>
      </c>
      <c r="L6">
        <v>0.23799999999999999</v>
      </c>
      <c r="M6">
        <v>0.23400000000000001</v>
      </c>
      <c r="N6" s="204">
        <v>0.20399999999999999</v>
      </c>
      <c r="O6" s="204"/>
    </row>
    <row r="7" spans="1:16" outlineLevel="1" x14ac:dyDescent="0.25">
      <c r="A7" s="5" t="s">
        <v>34</v>
      </c>
      <c r="B7" s="5" t="s">
        <v>41</v>
      </c>
      <c r="C7" s="5" t="s">
        <v>29</v>
      </c>
      <c r="D7" s="5" t="str">
        <f t="shared" si="3"/>
        <v>BIsolée</v>
      </c>
      <c r="E7">
        <v>0</v>
      </c>
      <c r="F7">
        <v>0.443</v>
      </c>
      <c r="G7">
        <v>0.39300000000000002</v>
      </c>
      <c r="H7">
        <v>0.36199999999999999</v>
      </c>
      <c r="I7">
        <v>0.33700000000000002</v>
      </c>
      <c r="J7">
        <v>0.27</v>
      </c>
      <c r="K7">
        <v>0.248</v>
      </c>
      <c r="L7">
        <v>0.23799999999999999</v>
      </c>
      <c r="M7">
        <v>0.23400000000000001</v>
      </c>
      <c r="N7" s="204">
        <v>0.20399999999999999</v>
      </c>
      <c r="O7" s="204"/>
    </row>
    <row r="8" spans="1:16" outlineLevel="1" x14ac:dyDescent="0.25">
      <c r="A8" s="5" t="s">
        <v>35</v>
      </c>
      <c r="B8" s="5" t="s">
        <v>42</v>
      </c>
      <c r="C8" s="5" t="s">
        <v>29</v>
      </c>
      <c r="D8" s="5" t="str">
        <f t="shared" si="3"/>
        <v>CIsolée</v>
      </c>
      <c r="E8">
        <v>0</v>
      </c>
      <c r="F8">
        <v>0.41799999999999998</v>
      </c>
      <c r="G8">
        <v>0.34300000000000003</v>
      </c>
      <c r="H8">
        <v>0.316</v>
      </c>
      <c r="I8">
        <v>0.32</v>
      </c>
      <c r="J8">
        <v>0.248</v>
      </c>
      <c r="K8">
        <v>0.22800000000000001</v>
      </c>
      <c r="L8">
        <v>0.19800000000000001</v>
      </c>
      <c r="M8">
        <v>0.18</v>
      </c>
      <c r="N8" s="204">
        <v>0.17699999999999999</v>
      </c>
      <c r="O8" s="204"/>
    </row>
    <row r="9" spans="1:16" outlineLevel="1" x14ac:dyDescent="0.25">
      <c r="A9" s="5" t="s">
        <v>36</v>
      </c>
      <c r="B9" s="5" t="s">
        <v>43</v>
      </c>
      <c r="C9" s="5" t="s">
        <v>29</v>
      </c>
      <c r="D9" s="5" t="str">
        <f t="shared" si="3"/>
        <v>DIsolée</v>
      </c>
      <c r="E9">
        <v>0</v>
      </c>
      <c r="F9">
        <v>0.40200000000000002</v>
      </c>
      <c r="G9">
        <v>0.30499999999999999</v>
      </c>
      <c r="H9">
        <v>0.28100000000000003</v>
      </c>
      <c r="I9">
        <v>0.28999999999999998</v>
      </c>
      <c r="J9">
        <v>0.23100000000000001</v>
      </c>
      <c r="K9">
        <v>0.21299999999999999</v>
      </c>
      <c r="L9">
        <v>0.192</v>
      </c>
      <c r="M9">
        <v>0.188</v>
      </c>
      <c r="N9" s="204">
        <v>0.17599999999999999</v>
      </c>
      <c r="O9" s="204"/>
    </row>
    <row r="10" spans="1:16" outlineLevel="1" x14ac:dyDescent="0.25">
      <c r="A10" s="5" t="s">
        <v>37</v>
      </c>
      <c r="B10" s="5" t="s">
        <v>44</v>
      </c>
      <c r="C10" s="5" t="s">
        <v>29</v>
      </c>
      <c r="D10" s="5" t="str">
        <f t="shared" si="3"/>
        <v>EIsolée</v>
      </c>
      <c r="E10">
        <v>0</v>
      </c>
      <c r="F10">
        <v>0.40200000000000002</v>
      </c>
      <c r="G10">
        <v>0.28899999999999998</v>
      </c>
      <c r="H10">
        <v>0.26600000000000001</v>
      </c>
      <c r="I10">
        <v>0.28100000000000003</v>
      </c>
      <c r="J10">
        <v>0.216</v>
      </c>
      <c r="K10">
        <v>0.19900000000000001</v>
      </c>
      <c r="L10">
        <v>0.17199999999999999</v>
      </c>
      <c r="M10">
        <v>0.185</v>
      </c>
      <c r="N10" s="204">
        <v>0.17599999999999999</v>
      </c>
      <c r="O10" s="204"/>
    </row>
    <row r="11" spans="1:16" outlineLevel="1" x14ac:dyDescent="0.25">
      <c r="A11" s="5" t="s">
        <v>33</v>
      </c>
      <c r="B11" s="5" t="s">
        <v>40</v>
      </c>
      <c r="C11" s="5" t="s">
        <v>30</v>
      </c>
      <c r="D11" s="5" t="str">
        <f t="shared" si="3"/>
        <v>AAjoutée</v>
      </c>
      <c r="E11">
        <v>0</v>
      </c>
      <c r="F11">
        <v>0.61499999999999999</v>
      </c>
      <c r="G11">
        <v>0.48299999999999998</v>
      </c>
      <c r="H11">
        <v>0.44400000000000001</v>
      </c>
      <c r="I11">
        <v>0.39900000000000002</v>
      </c>
      <c r="J11">
        <v>0.36099999999999999</v>
      </c>
      <c r="K11">
        <v>0.33200000000000002</v>
      </c>
      <c r="L11">
        <v>0.26400000000000001</v>
      </c>
      <c r="M11">
        <v>0.23400000000000001</v>
      </c>
      <c r="N11" s="204">
        <v>0.20399999999999999</v>
      </c>
      <c r="O11" s="204"/>
    </row>
    <row r="12" spans="1:16" outlineLevel="1" x14ac:dyDescent="0.25">
      <c r="A12" s="5" t="s">
        <v>34</v>
      </c>
      <c r="B12" s="5" t="s">
        <v>41</v>
      </c>
      <c r="C12" s="5" t="s">
        <v>30</v>
      </c>
      <c r="D12" s="5" t="str">
        <f t="shared" si="3"/>
        <v>BAjoutée</v>
      </c>
      <c r="E12">
        <v>0</v>
      </c>
      <c r="F12">
        <v>0.53300000000000003</v>
      </c>
      <c r="G12">
        <v>0.46700000000000003</v>
      </c>
      <c r="H12">
        <v>0.43</v>
      </c>
      <c r="I12">
        <v>0.36799999999999999</v>
      </c>
      <c r="J12">
        <v>0.29399999999999998</v>
      </c>
      <c r="K12">
        <v>0.27</v>
      </c>
      <c r="L12">
        <v>0.26400000000000001</v>
      </c>
      <c r="M12">
        <v>0.23400000000000001</v>
      </c>
      <c r="N12" s="204">
        <v>0.20399999999999999</v>
      </c>
      <c r="O12" s="204"/>
    </row>
    <row r="13" spans="1:16" outlineLevel="1" x14ac:dyDescent="0.25">
      <c r="A13" s="5" t="s">
        <v>35</v>
      </c>
      <c r="B13" s="5" t="s">
        <v>42</v>
      </c>
      <c r="C13" s="5" t="s">
        <v>30</v>
      </c>
      <c r="D13" s="5" t="str">
        <f t="shared" si="3"/>
        <v>CAjoutée</v>
      </c>
      <c r="E13">
        <v>0</v>
      </c>
      <c r="F13">
        <v>0.50800000000000001</v>
      </c>
      <c r="G13">
        <v>0.42199999999999999</v>
      </c>
      <c r="H13">
        <v>0.38800000000000001</v>
      </c>
      <c r="I13">
        <v>0.34899999999999998</v>
      </c>
      <c r="J13">
        <v>0.26900000000000002</v>
      </c>
      <c r="K13">
        <v>0.247</v>
      </c>
      <c r="L13">
        <v>0.22</v>
      </c>
      <c r="M13">
        <v>0.185</v>
      </c>
      <c r="N13" s="204">
        <v>0.17699999999999999</v>
      </c>
      <c r="O13" s="204"/>
    </row>
    <row r="14" spans="1:16" outlineLevel="1" x14ac:dyDescent="0.25">
      <c r="A14" s="5" t="s">
        <v>36</v>
      </c>
      <c r="B14" s="5" t="s">
        <v>43</v>
      </c>
      <c r="C14" s="5" t="s">
        <v>30</v>
      </c>
      <c r="D14" s="5" t="str">
        <f t="shared" si="3"/>
        <v>DAjoutée</v>
      </c>
      <c r="E14">
        <v>0</v>
      </c>
      <c r="F14">
        <v>0.49199999999999999</v>
      </c>
      <c r="G14">
        <v>0.378</v>
      </c>
      <c r="H14">
        <v>0.34799999999999998</v>
      </c>
      <c r="I14">
        <v>0.317</v>
      </c>
      <c r="J14">
        <v>0.251</v>
      </c>
      <c r="K14">
        <v>0.23100000000000001</v>
      </c>
      <c r="L14">
        <v>0.21299999999999999</v>
      </c>
      <c r="M14">
        <v>0.188</v>
      </c>
      <c r="N14" s="204">
        <v>0.17599999999999999</v>
      </c>
      <c r="O14" s="204"/>
    </row>
    <row r="15" spans="1:16" outlineLevel="1" x14ac:dyDescent="0.25">
      <c r="A15" s="5" t="s">
        <v>37</v>
      </c>
      <c r="B15" s="5" t="s">
        <v>44</v>
      </c>
      <c r="C15" s="5" t="s">
        <v>30</v>
      </c>
      <c r="D15" s="5" t="str">
        <f t="shared" si="3"/>
        <v>EAjoutée</v>
      </c>
      <c r="E15">
        <v>0</v>
      </c>
      <c r="F15">
        <v>0.49199999999999999</v>
      </c>
      <c r="G15">
        <v>0.36099999999999999</v>
      </c>
      <c r="H15">
        <v>0.33200000000000002</v>
      </c>
      <c r="I15">
        <v>0.307</v>
      </c>
      <c r="J15">
        <v>0.23499999999999999</v>
      </c>
      <c r="K15">
        <v>0.216</v>
      </c>
      <c r="L15">
        <v>0.191</v>
      </c>
      <c r="M15">
        <v>0.185</v>
      </c>
      <c r="N15" s="204">
        <v>0.17599999999999999</v>
      </c>
      <c r="O15" s="204"/>
    </row>
    <row r="16" spans="1:16" outlineLevel="1" x14ac:dyDescent="0.25">
      <c r="A16" s="5" t="s">
        <v>33</v>
      </c>
      <c r="B16" s="5" t="s">
        <v>40</v>
      </c>
      <c r="C16" s="5" t="s">
        <v>31</v>
      </c>
      <c r="D16" s="5" t="str">
        <f t="shared" si="3"/>
        <v>AIntégrée</v>
      </c>
      <c r="E16">
        <v>0</v>
      </c>
      <c r="F16">
        <v>0.73799999999999999</v>
      </c>
      <c r="G16">
        <v>0.59199999999999997</v>
      </c>
      <c r="H16">
        <v>0.54500000000000004</v>
      </c>
      <c r="I16">
        <v>0.48799999999999999</v>
      </c>
      <c r="J16">
        <v>0.42799999999999999</v>
      </c>
      <c r="K16">
        <v>0.39400000000000002</v>
      </c>
      <c r="L16">
        <v>0.30399999999999999</v>
      </c>
      <c r="M16">
        <v>0.27400000000000002</v>
      </c>
      <c r="N16" s="204">
        <v>0.24</v>
      </c>
      <c r="O16" s="204"/>
    </row>
    <row r="17" spans="1:15" outlineLevel="1" x14ac:dyDescent="0.25">
      <c r="A17" s="5" t="s">
        <v>34</v>
      </c>
      <c r="B17" s="5" t="s">
        <v>41</v>
      </c>
      <c r="C17" s="5" t="s">
        <v>31</v>
      </c>
      <c r="D17" s="5" t="str">
        <f t="shared" si="3"/>
        <v>BIntégrée</v>
      </c>
      <c r="E17">
        <v>0</v>
      </c>
      <c r="F17">
        <v>0.60699999999999998</v>
      </c>
      <c r="G17">
        <v>0.54200000000000004</v>
      </c>
      <c r="H17">
        <v>0.499</v>
      </c>
      <c r="I17">
        <v>0.439</v>
      </c>
      <c r="J17">
        <v>0.36499999999999999</v>
      </c>
      <c r="K17">
        <v>0.33600000000000002</v>
      </c>
      <c r="L17">
        <v>0.30399999999999999</v>
      </c>
      <c r="M17">
        <v>0.27400000000000002</v>
      </c>
      <c r="N17" s="204">
        <v>0.24</v>
      </c>
      <c r="O17" s="204"/>
    </row>
    <row r="18" spans="1:15" outlineLevel="1" x14ac:dyDescent="0.25">
      <c r="A18" s="5" t="s">
        <v>35</v>
      </c>
      <c r="B18" s="5" t="s">
        <v>42</v>
      </c>
      <c r="C18" s="5" t="s">
        <v>31</v>
      </c>
      <c r="D18" s="5" t="str">
        <f t="shared" si="3"/>
        <v>CIntégrée</v>
      </c>
      <c r="E18">
        <v>0</v>
      </c>
      <c r="F18">
        <v>0.54900000000000004</v>
      </c>
      <c r="G18">
        <v>0.45200000000000001</v>
      </c>
      <c r="H18">
        <v>0.42199999999999999</v>
      </c>
      <c r="I18">
        <v>0.39100000000000001</v>
      </c>
      <c r="J18">
        <v>0.33200000000000002</v>
      </c>
      <c r="K18">
        <v>0.30499999999999999</v>
      </c>
      <c r="L18">
        <v>0.253</v>
      </c>
      <c r="M18">
        <v>0.21099999999999999</v>
      </c>
      <c r="N18" s="204">
        <v>0.20100000000000001</v>
      </c>
      <c r="O18" s="204"/>
    </row>
    <row r="19" spans="1:15" outlineLevel="1" x14ac:dyDescent="0.25">
      <c r="A19" s="5" t="s">
        <v>36</v>
      </c>
      <c r="B19" s="5" t="s">
        <v>43</v>
      </c>
      <c r="C19" s="5" t="s">
        <v>31</v>
      </c>
      <c r="D19" s="5" t="str">
        <f t="shared" si="3"/>
        <v>DIntégrée</v>
      </c>
      <c r="E19">
        <v>0</v>
      </c>
      <c r="F19">
        <v>0.50800000000000001</v>
      </c>
      <c r="G19">
        <v>0.41499999999999998</v>
      </c>
      <c r="H19">
        <v>0.38200000000000001</v>
      </c>
      <c r="I19">
        <v>0.34899999999999998</v>
      </c>
      <c r="J19">
        <v>0.315</v>
      </c>
      <c r="K19">
        <v>0.28999999999999998</v>
      </c>
      <c r="L19">
        <v>0.21299999999999999</v>
      </c>
      <c r="M19">
        <v>0.188</v>
      </c>
      <c r="N19" s="204">
        <v>0.17599999999999999</v>
      </c>
      <c r="O19" s="204"/>
    </row>
    <row r="20" spans="1:15" outlineLevel="1" x14ac:dyDescent="0.25">
      <c r="A20" s="5" t="s">
        <v>37</v>
      </c>
      <c r="B20" s="5" t="s">
        <v>44</v>
      </c>
      <c r="C20" s="5" t="s">
        <v>31</v>
      </c>
      <c r="D20" s="5" t="str">
        <f t="shared" si="3"/>
        <v>EIntégrée</v>
      </c>
      <c r="E20">
        <v>0</v>
      </c>
      <c r="F20">
        <v>0.50800000000000001</v>
      </c>
      <c r="G20">
        <v>0.39100000000000001</v>
      </c>
      <c r="H20">
        <v>0.36</v>
      </c>
      <c r="I20">
        <v>0.33400000000000002</v>
      </c>
      <c r="J20">
        <v>0.28899999999999998</v>
      </c>
      <c r="K20">
        <v>0.26600000000000001</v>
      </c>
      <c r="L20">
        <v>0.191</v>
      </c>
      <c r="M20">
        <v>0.185</v>
      </c>
      <c r="N20" s="204">
        <v>0.17599999999999999</v>
      </c>
      <c r="O20" s="204"/>
    </row>
    <row r="21" spans="1:15" x14ac:dyDescent="0.25">
      <c r="A21" s="5"/>
      <c r="B21" s="5"/>
      <c r="C21" s="5"/>
      <c r="D21" s="5"/>
      <c r="N21" s="204"/>
      <c r="O21" s="204"/>
    </row>
    <row r="22" spans="1:15" x14ac:dyDescent="0.25">
      <c r="A22" s="210" t="s">
        <v>105</v>
      </c>
      <c r="B22" s="5"/>
      <c r="C22" s="5"/>
      <c r="D22" s="5"/>
      <c r="N22" s="204"/>
      <c r="O22" s="204"/>
    </row>
    <row r="23" spans="1:15" x14ac:dyDescent="0.25">
      <c r="A23" s="5"/>
      <c r="B23" s="210" t="s">
        <v>45</v>
      </c>
      <c r="C23" s="5"/>
      <c r="D23" s="5"/>
      <c r="E23" s="158">
        <f>E5</f>
        <v>1</v>
      </c>
      <c r="F23" s="158">
        <f>F5</f>
        <v>40179</v>
      </c>
      <c r="G23" s="158">
        <f t="shared" ref="G23:N23" si="4">G5</f>
        <v>40544</v>
      </c>
      <c r="H23" s="158">
        <f t="shared" si="4"/>
        <v>40909</v>
      </c>
      <c r="I23" s="158">
        <f t="shared" si="4"/>
        <v>40969</v>
      </c>
      <c r="J23" s="158">
        <f t="shared" si="4"/>
        <v>41183</v>
      </c>
      <c r="K23" s="158">
        <f t="shared" si="4"/>
        <v>41275</v>
      </c>
      <c r="L23" s="158">
        <f t="shared" si="4"/>
        <v>41640</v>
      </c>
      <c r="M23" s="158">
        <f t="shared" si="4"/>
        <v>42095</v>
      </c>
      <c r="N23" s="158">
        <f t="shared" si="4"/>
        <v>42278</v>
      </c>
      <c r="O23" s="206"/>
    </row>
    <row r="24" spans="1:15" outlineLevel="2" x14ac:dyDescent="0.25">
      <c r="A24" s="5" t="s">
        <v>33</v>
      </c>
      <c r="B24" s="5" t="s">
        <v>40</v>
      </c>
      <c r="C24" s="5" t="s">
        <v>29</v>
      </c>
      <c r="D24" s="5" t="str">
        <f t="shared" ref="D24:D38" si="5">CONCATENATE(A24,C24)</f>
        <v>AIsolée</v>
      </c>
      <c r="E24" s="204">
        <v>0</v>
      </c>
      <c r="F24" s="204"/>
      <c r="G24" s="204">
        <v>5391</v>
      </c>
      <c r="H24" s="204">
        <v>4083</v>
      </c>
      <c r="I24" s="204">
        <v>3632</v>
      </c>
      <c r="J24" s="225">
        <f>I24-(1-L24/I24)/3*I24</f>
        <v>3426.3333333333335</v>
      </c>
      <c r="K24" s="225">
        <f>I24-(1-L24/I24)*2/3*I24</f>
        <v>3220.666666666667</v>
      </c>
      <c r="L24">
        <v>3015</v>
      </c>
      <c r="N24" s="204"/>
      <c r="O24" s="204"/>
    </row>
    <row r="25" spans="1:15" outlineLevel="2" x14ac:dyDescent="0.25">
      <c r="A25" s="5" t="s">
        <v>34</v>
      </c>
      <c r="B25" s="5" t="s">
        <v>41</v>
      </c>
      <c r="C25" s="5" t="s">
        <v>29</v>
      </c>
      <c r="D25" s="5" t="str">
        <f t="shared" si="5"/>
        <v>BIsolée</v>
      </c>
      <c r="E25" s="204">
        <v>0</v>
      </c>
      <c r="F25" s="204"/>
      <c r="G25" s="204">
        <v>4806</v>
      </c>
      <c r="H25" s="204">
        <v>3711</v>
      </c>
      <c r="I25" s="204">
        <v>3089</v>
      </c>
      <c r="J25" s="225">
        <f t="shared" ref="J25:J38" si="6">I25-(1-L25/I25)/3*I25</f>
        <v>2824.3333333333335</v>
      </c>
      <c r="K25" s="225">
        <f t="shared" ref="K25:K38" si="7">I25-(1-L25/I25)*2/3*I25</f>
        <v>2559.6666666666665</v>
      </c>
      <c r="L25">
        <v>2295</v>
      </c>
      <c r="N25" s="204"/>
      <c r="O25" s="204"/>
    </row>
    <row r="26" spans="1:15" outlineLevel="2" x14ac:dyDescent="0.25">
      <c r="A26" s="5" t="s">
        <v>35</v>
      </c>
      <c r="B26" s="5" t="s">
        <v>42</v>
      </c>
      <c r="C26" s="5" t="s">
        <v>29</v>
      </c>
      <c r="D26" s="5" t="str">
        <f t="shared" si="5"/>
        <v>CIsolée</v>
      </c>
      <c r="E26" s="204">
        <v>0</v>
      </c>
      <c r="F26" s="204"/>
      <c r="G26" s="204">
        <v>4450</v>
      </c>
      <c r="H26" s="204">
        <v>3478</v>
      </c>
      <c r="I26" s="204">
        <v>2687</v>
      </c>
      <c r="J26" s="225">
        <f t="shared" si="6"/>
        <v>2451.3333333333335</v>
      </c>
      <c r="K26" s="225">
        <f t="shared" si="7"/>
        <v>2215.666666666667</v>
      </c>
      <c r="L26">
        <v>1980</v>
      </c>
      <c r="N26" s="204"/>
      <c r="O26" s="204"/>
    </row>
    <row r="27" spans="1:15" outlineLevel="2" x14ac:dyDescent="0.25">
      <c r="A27" s="5" t="s">
        <v>36</v>
      </c>
      <c r="B27" s="5" t="s">
        <v>43</v>
      </c>
      <c r="C27" s="5" t="s">
        <v>29</v>
      </c>
      <c r="D27" s="5" t="str">
        <f t="shared" si="5"/>
        <v>DIsolée</v>
      </c>
      <c r="E27" s="204">
        <v>0</v>
      </c>
      <c r="F27" s="204"/>
      <c r="G27" s="204">
        <v>4183</v>
      </c>
      <c r="H27" s="204">
        <v>3219</v>
      </c>
      <c r="I27" s="204">
        <v>2464</v>
      </c>
      <c r="J27" s="225">
        <f t="shared" si="6"/>
        <v>2249.6666666666665</v>
      </c>
      <c r="K27" s="225">
        <f t="shared" si="7"/>
        <v>2035.3333333333333</v>
      </c>
      <c r="L27">
        <v>1821</v>
      </c>
      <c r="N27" s="204"/>
      <c r="O27" s="204"/>
    </row>
    <row r="28" spans="1:15" outlineLevel="2" x14ac:dyDescent="0.25">
      <c r="A28" s="5" t="s">
        <v>37</v>
      </c>
      <c r="B28" s="5" t="s">
        <v>44</v>
      </c>
      <c r="C28" s="5" t="s">
        <v>29</v>
      </c>
      <c r="D28" s="5" t="str">
        <f t="shared" si="5"/>
        <v>EIsolée</v>
      </c>
      <c r="E28" s="204">
        <v>0</v>
      </c>
      <c r="F28" s="204"/>
      <c r="G28" s="204">
        <v>4094</v>
      </c>
      <c r="H28" s="204">
        <v>3154</v>
      </c>
      <c r="I28" s="204">
        <v>2372</v>
      </c>
      <c r="J28" s="225">
        <f t="shared" si="6"/>
        <v>2156</v>
      </c>
      <c r="K28" s="225">
        <f t="shared" si="7"/>
        <v>1940</v>
      </c>
      <c r="L28">
        <v>1724</v>
      </c>
      <c r="N28" s="204"/>
      <c r="O28" s="204"/>
    </row>
    <row r="29" spans="1:15" outlineLevel="2" x14ac:dyDescent="0.25">
      <c r="A29" s="5" t="s">
        <v>33</v>
      </c>
      <c r="B29" s="5" t="s">
        <v>40</v>
      </c>
      <c r="C29" s="5" t="s">
        <v>30</v>
      </c>
      <c r="D29" s="5" t="str">
        <f t="shared" si="5"/>
        <v>AAjoutée</v>
      </c>
      <c r="E29" s="204">
        <v>0</v>
      </c>
      <c r="F29" s="204"/>
      <c r="G29" s="204">
        <v>5531</v>
      </c>
      <c r="H29" s="204">
        <v>4537</v>
      </c>
      <c r="I29" s="204">
        <v>4036</v>
      </c>
      <c r="J29" s="225">
        <f t="shared" si="6"/>
        <v>3807.3333333333335</v>
      </c>
      <c r="K29" s="225">
        <f t="shared" si="7"/>
        <v>3578.666666666667</v>
      </c>
      <c r="L29">
        <v>3350</v>
      </c>
      <c r="N29" s="204"/>
      <c r="O29" s="204"/>
    </row>
    <row r="30" spans="1:15" outlineLevel="2" x14ac:dyDescent="0.25">
      <c r="A30" s="5" t="s">
        <v>34</v>
      </c>
      <c r="B30" s="5" t="s">
        <v>41</v>
      </c>
      <c r="C30" s="5" t="s">
        <v>30</v>
      </c>
      <c r="D30" s="5" t="str">
        <f t="shared" si="5"/>
        <v>BAjoutée</v>
      </c>
      <c r="E30" s="204">
        <v>0</v>
      </c>
      <c r="F30" s="204"/>
      <c r="G30" s="204">
        <v>5026</v>
      </c>
      <c r="H30" s="204">
        <v>4123</v>
      </c>
      <c r="I30" s="204">
        <v>3432</v>
      </c>
      <c r="J30" s="225">
        <f t="shared" si="6"/>
        <v>3138</v>
      </c>
      <c r="K30" s="225">
        <f t="shared" si="7"/>
        <v>2844</v>
      </c>
      <c r="L30">
        <v>2550</v>
      </c>
      <c r="M30">
        <v>1850</v>
      </c>
      <c r="N30" s="204"/>
      <c r="O30" s="204"/>
    </row>
    <row r="31" spans="1:15" outlineLevel="2" x14ac:dyDescent="0.25">
      <c r="A31" s="5" t="s">
        <v>35</v>
      </c>
      <c r="B31" s="5" t="s">
        <v>42</v>
      </c>
      <c r="C31" s="5" t="s">
        <v>30</v>
      </c>
      <c r="D31" s="5" t="str">
        <f t="shared" si="5"/>
        <v>CAjoutée</v>
      </c>
      <c r="E31" s="204">
        <v>0</v>
      </c>
      <c r="F31" s="204"/>
      <c r="G31" s="204">
        <v>4710</v>
      </c>
      <c r="H31" s="204">
        <v>3864</v>
      </c>
      <c r="I31" s="204">
        <v>2986</v>
      </c>
      <c r="J31" s="225">
        <f t="shared" si="6"/>
        <v>2724</v>
      </c>
      <c r="K31" s="225">
        <f t="shared" si="7"/>
        <v>2462</v>
      </c>
      <c r="L31">
        <v>2200</v>
      </c>
      <c r="M31">
        <v>1700</v>
      </c>
      <c r="N31" s="204"/>
      <c r="O31" s="204"/>
    </row>
    <row r="32" spans="1:15" outlineLevel="2" x14ac:dyDescent="0.25">
      <c r="A32" s="5" t="s">
        <v>36</v>
      </c>
      <c r="B32" s="5" t="s">
        <v>43</v>
      </c>
      <c r="C32" s="5" t="s">
        <v>30</v>
      </c>
      <c r="D32" s="5" t="str">
        <f t="shared" si="5"/>
        <v>DAjoutée</v>
      </c>
      <c r="E32" s="204">
        <v>0</v>
      </c>
      <c r="F32" s="204"/>
      <c r="G32" s="204">
        <v>4361</v>
      </c>
      <c r="H32" s="204">
        <v>3577</v>
      </c>
      <c r="I32" s="204">
        <v>2738</v>
      </c>
      <c r="J32" s="225">
        <f t="shared" si="6"/>
        <v>2499.6666666666665</v>
      </c>
      <c r="K32" s="225">
        <f t="shared" si="7"/>
        <v>2261.3333333333335</v>
      </c>
      <c r="L32">
        <v>2023</v>
      </c>
      <c r="M32">
        <v>1650</v>
      </c>
      <c r="N32" s="204"/>
      <c r="O32" s="204"/>
    </row>
    <row r="33" spans="1:15" outlineLevel="2" x14ac:dyDescent="0.25">
      <c r="A33" s="5" t="s">
        <v>37</v>
      </c>
      <c r="B33" s="5" t="s">
        <v>44</v>
      </c>
      <c r="C33" s="5" t="s">
        <v>30</v>
      </c>
      <c r="D33" s="5" t="str">
        <f t="shared" si="5"/>
        <v>EAjoutée</v>
      </c>
      <c r="E33" s="204">
        <v>0</v>
      </c>
      <c r="F33" s="204"/>
      <c r="G33" s="204">
        <v>4272</v>
      </c>
      <c r="H33" s="204">
        <v>3504</v>
      </c>
      <c r="I33" s="204">
        <v>2635</v>
      </c>
      <c r="J33" s="225">
        <f t="shared" si="6"/>
        <v>2395.3333333333335</v>
      </c>
      <c r="K33" s="225">
        <f t="shared" si="7"/>
        <v>2155.666666666667</v>
      </c>
      <c r="L33">
        <v>1916</v>
      </c>
      <c r="M33">
        <v>1650</v>
      </c>
      <c r="N33" s="204"/>
      <c r="O33" s="204"/>
    </row>
    <row r="34" spans="1:15" outlineLevel="2" x14ac:dyDescent="0.25">
      <c r="A34" s="5" t="s">
        <v>33</v>
      </c>
      <c r="B34" s="5" t="s">
        <v>40</v>
      </c>
      <c r="C34" s="5" t="s">
        <v>31</v>
      </c>
      <c r="D34" s="5" t="str">
        <f t="shared" si="5"/>
        <v>AIntégrée</v>
      </c>
      <c r="E34" s="204">
        <v>0</v>
      </c>
      <c r="F34" s="204"/>
      <c r="G34" s="204">
        <v>6989</v>
      </c>
      <c r="H34" s="204">
        <v>5733</v>
      </c>
      <c r="I34" s="204">
        <v>4929</v>
      </c>
      <c r="J34" s="225">
        <f t="shared" si="6"/>
        <v>4570.333333333333</v>
      </c>
      <c r="K34" s="225">
        <f t="shared" si="7"/>
        <v>4211.6666666666661</v>
      </c>
      <c r="L34">
        <v>3853</v>
      </c>
      <c r="N34" s="204"/>
      <c r="O34" s="204"/>
    </row>
    <row r="35" spans="1:15" outlineLevel="2" x14ac:dyDescent="0.25">
      <c r="A35" s="5" t="s">
        <v>34</v>
      </c>
      <c r="B35" s="5" t="s">
        <v>41</v>
      </c>
      <c r="C35" s="5" t="s">
        <v>31</v>
      </c>
      <c r="D35" s="5" t="str">
        <f t="shared" si="5"/>
        <v>BIntégrée</v>
      </c>
      <c r="E35" s="204">
        <v>0</v>
      </c>
      <c r="F35" s="204"/>
      <c r="G35" s="204">
        <v>6184</v>
      </c>
      <c r="H35" s="204">
        <v>5073</v>
      </c>
      <c r="I35" s="204">
        <v>4363</v>
      </c>
      <c r="J35" s="225">
        <f t="shared" si="6"/>
        <v>3886.3333333333335</v>
      </c>
      <c r="K35" s="225">
        <f t="shared" si="7"/>
        <v>3409.666666666667</v>
      </c>
      <c r="L35">
        <v>2933</v>
      </c>
      <c r="N35" s="204"/>
      <c r="O35" s="204"/>
    </row>
    <row r="36" spans="1:15" outlineLevel="2" x14ac:dyDescent="0.25">
      <c r="A36" s="5" t="s">
        <v>35</v>
      </c>
      <c r="B36" s="5" t="s">
        <v>42</v>
      </c>
      <c r="C36" s="5" t="s">
        <v>31</v>
      </c>
      <c r="D36" s="5" t="str">
        <f t="shared" si="5"/>
        <v>CIntégrée</v>
      </c>
      <c r="E36" s="204">
        <v>0</v>
      </c>
      <c r="F36" s="204"/>
      <c r="G36" s="204">
        <v>5409</v>
      </c>
      <c r="H36" s="204">
        <v>4437</v>
      </c>
      <c r="I36" s="204">
        <v>3854</v>
      </c>
      <c r="J36" s="225">
        <f t="shared" si="6"/>
        <v>3412.6666666666665</v>
      </c>
      <c r="K36" s="225">
        <f t="shared" si="7"/>
        <v>2971.333333333333</v>
      </c>
      <c r="L36">
        <v>2530</v>
      </c>
      <c r="N36" s="204"/>
      <c r="O36" s="204"/>
    </row>
    <row r="37" spans="1:15" outlineLevel="2" x14ac:dyDescent="0.25">
      <c r="A37" s="5" t="s">
        <v>36</v>
      </c>
      <c r="B37" s="5" t="s">
        <v>43</v>
      </c>
      <c r="C37" s="5" t="s">
        <v>31</v>
      </c>
      <c r="D37" s="5" t="str">
        <f t="shared" si="5"/>
        <v>DIntégrée</v>
      </c>
      <c r="E37" s="204">
        <v>0</v>
      </c>
      <c r="F37" s="204"/>
      <c r="G37" s="204">
        <v>4881</v>
      </c>
      <c r="H37" s="204">
        <v>4004</v>
      </c>
      <c r="I37" s="204">
        <v>3592</v>
      </c>
      <c r="J37" s="225">
        <f t="shared" si="6"/>
        <v>3170</v>
      </c>
      <c r="K37" s="225">
        <f t="shared" si="7"/>
        <v>2748</v>
      </c>
      <c r="L37">
        <v>2326</v>
      </c>
      <c r="N37" s="204"/>
      <c r="O37" s="204"/>
    </row>
    <row r="38" spans="1:15" outlineLevel="2" x14ac:dyDescent="0.25">
      <c r="A38" s="5" t="s">
        <v>37</v>
      </c>
      <c r="B38" s="5" t="s">
        <v>44</v>
      </c>
      <c r="C38" s="5" t="s">
        <v>31</v>
      </c>
      <c r="D38" s="5" t="str">
        <f t="shared" si="5"/>
        <v>EIntégrée</v>
      </c>
      <c r="E38" s="204">
        <v>0</v>
      </c>
      <c r="F38" s="204"/>
      <c r="G38" s="204">
        <v>4717</v>
      </c>
      <c r="H38" s="204">
        <v>3869</v>
      </c>
      <c r="I38" s="204">
        <v>3395</v>
      </c>
      <c r="J38" s="225">
        <f t="shared" si="6"/>
        <v>2997.6666666666665</v>
      </c>
      <c r="K38" s="225">
        <f t="shared" si="7"/>
        <v>2600.3333333333335</v>
      </c>
      <c r="L38">
        <v>2203</v>
      </c>
      <c r="N38" s="204"/>
      <c r="O38" s="204"/>
    </row>
    <row r="39" spans="1:15" x14ac:dyDescent="0.25">
      <c r="A39" s="5"/>
      <c r="B39" s="5"/>
      <c r="C39" s="5"/>
      <c r="D39" s="5"/>
    </row>
    <row r="40" spans="1:15" ht="16.5" thickBot="1" x14ac:dyDescent="0.3">
      <c r="A40" s="114"/>
      <c r="B40" s="112"/>
      <c r="C40" s="112"/>
    </row>
    <row r="41" spans="1:15" x14ac:dyDescent="0.25">
      <c r="A41" s="231" t="s">
        <v>95</v>
      </c>
      <c r="B41" s="232"/>
      <c r="C41" s="232"/>
      <c r="D41" s="182" t="str">
        <f>CONCATENATE("Taux de rétribution installation ",B42)</f>
        <v>Taux de rétribution installation Ajoutée</v>
      </c>
      <c r="E41" s="166"/>
    </row>
    <row r="42" spans="1:15" x14ac:dyDescent="0.25">
      <c r="A42" s="167" t="s">
        <v>68</v>
      </c>
      <c r="B42" s="168" t="str">
        <f>type_installation</f>
        <v>Ajoutée</v>
      </c>
      <c r="C42" s="169"/>
      <c r="D42" s="183" t="s">
        <v>104</v>
      </c>
      <c r="E42" s="178">
        <f>SUM(E3:BZ3)+1</f>
        <v>9</v>
      </c>
    </row>
    <row r="43" spans="1:15" x14ac:dyDescent="0.25">
      <c r="A43" s="167" t="s">
        <v>102</v>
      </c>
      <c r="B43" s="171">
        <f>date_mise_en_service</f>
        <v>41791</v>
      </c>
      <c r="C43" s="169"/>
      <c r="D43" s="184" t="s">
        <v>33</v>
      </c>
      <c r="E43" s="170">
        <f>VLOOKUP(CONCATENATE(D43,$B$42),$D$6:$BZ$20,$E$42,0)</f>
        <v>0.26400000000000001</v>
      </c>
    </row>
    <row r="44" spans="1:15" x14ac:dyDescent="0.25">
      <c r="A44" s="167" t="s">
        <v>71</v>
      </c>
      <c r="B44" s="172" t="str">
        <f>'Version avancée'!E7</f>
        <v>A</v>
      </c>
      <c r="C44" s="168"/>
      <c r="D44" s="185" t="s">
        <v>34</v>
      </c>
      <c r="E44" s="170">
        <f>VLOOKUP(CONCATENATE(D44,$B$42),$D$6:$BZ$20,$E$42,0)</f>
        <v>0.26400000000000001</v>
      </c>
    </row>
    <row r="45" spans="1:15" x14ac:dyDescent="0.25">
      <c r="A45" s="167"/>
      <c r="B45" s="168"/>
      <c r="C45" s="168"/>
      <c r="D45" s="184" t="s">
        <v>35</v>
      </c>
      <c r="E45" s="170">
        <f>VLOOKUP(CONCATENATE(D45,$B$42),$D$6:$BZ$20,$E$42,0)</f>
        <v>0.22</v>
      </c>
    </row>
    <row r="46" spans="1:15" x14ac:dyDescent="0.25">
      <c r="A46" s="167" t="s">
        <v>70</v>
      </c>
      <c r="B46" s="173">
        <f>IF(B44="A",E43,IF(B44="B",(10*E43+(B43-10)*E44)/B43,IF(B44="C",(10*E43+20*E44+(B43-30)*E45)/B43,IF(B44="D",(10*E43+20*E44+70*E45+(B43-100)*E46)/B43,IF(B44="E",(10*E43+20*E44+70*E45+900*E46+(B43-1000)*E47)/B43,0)))))</f>
        <v>0.26400000000000001</v>
      </c>
      <c r="C46" s="168" t="s">
        <v>108</v>
      </c>
      <c r="D46" s="184" t="s">
        <v>36</v>
      </c>
      <c r="E46" s="170">
        <f>VLOOKUP(CONCATENATE(D46,$B$42),$D$6:$BZ$20,$E$42,0)</f>
        <v>0.21299999999999999</v>
      </c>
    </row>
    <row r="47" spans="1:15" ht="16.5" thickBot="1" x14ac:dyDescent="0.3">
      <c r="A47" s="174" t="s">
        <v>107</v>
      </c>
      <c r="B47" s="175">
        <f>IF(B44=0,VLOOKUP(CONCATENATE("A",$B$42),$D$24:$BZ$38,$E$42,0),VLOOKUP(CONCATENATE(B44,$B$42),$D$24:$BZ$38,$E$42,0))</f>
        <v>3350</v>
      </c>
      <c r="C47" s="175" t="s">
        <v>106</v>
      </c>
      <c r="D47" s="186" t="s">
        <v>37</v>
      </c>
      <c r="E47" s="187">
        <f>VLOOKUP(CONCATENATE(D47,$B$42),$D$6:$BZ$20,$E$42,0)</f>
        <v>0.191</v>
      </c>
    </row>
    <row r="48" spans="1:15" x14ac:dyDescent="0.25">
      <c r="A48" s="168"/>
      <c r="B48" s="168"/>
      <c r="C48" s="168"/>
      <c r="D48" s="176"/>
      <c r="E48" s="177"/>
    </row>
    <row r="49" spans="1:18" x14ac:dyDescent="0.25">
      <c r="A49" s="168"/>
      <c r="B49" s="168"/>
      <c r="C49" s="168"/>
      <c r="D49" s="176"/>
      <c r="E49" s="177"/>
    </row>
    <row r="50" spans="1:18" x14ac:dyDescent="0.25">
      <c r="A50" s="189" t="s">
        <v>109</v>
      </c>
      <c r="B50" s="189"/>
      <c r="C50" s="189"/>
      <c r="D50" s="191"/>
      <c r="E50" s="192"/>
      <c r="F50" s="193"/>
      <c r="G50" s="193"/>
      <c r="H50" s="193"/>
      <c r="I50" s="193"/>
      <c r="J50" s="193"/>
      <c r="K50" s="193"/>
      <c r="L50" s="193"/>
      <c r="M50" s="193"/>
      <c r="N50" s="193"/>
    </row>
    <row r="51" spans="1:18" x14ac:dyDescent="0.25">
      <c r="B51" s="168"/>
      <c r="C51" s="168"/>
      <c r="D51" s="168" t="s">
        <v>110</v>
      </c>
      <c r="E51" s="177"/>
    </row>
    <row r="52" spans="1:18" x14ac:dyDescent="0.25">
      <c r="A52" s="5"/>
      <c r="B52" s="5"/>
      <c r="C52" s="5"/>
      <c r="D52" s="5"/>
      <c r="E52" s="207">
        <f>E$5</f>
        <v>1</v>
      </c>
      <c r="F52" s="207">
        <f t="shared" ref="F52:L52" si="8">F$5</f>
        <v>40179</v>
      </c>
      <c r="G52" s="207">
        <f t="shared" si="8"/>
        <v>40544</v>
      </c>
      <c r="H52" s="207">
        <f t="shared" si="8"/>
        <v>40909</v>
      </c>
      <c r="I52" s="207">
        <f t="shared" si="8"/>
        <v>40969</v>
      </c>
      <c r="J52" s="207">
        <f t="shared" si="8"/>
        <v>41183</v>
      </c>
      <c r="K52" s="207">
        <f t="shared" si="8"/>
        <v>41275</v>
      </c>
      <c r="L52" s="207">
        <f t="shared" si="8"/>
        <v>41640</v>
      </c>
      <c r="M52" s="229">
        <v>42095</v>
      </c>
      <c r="N52" s="229">
        <v>42278</v>
      </c>
      <c r="Q52" s="204"/>
      <c r="R52" s="204"/>
    </row>
    <row r="53" spans="1:18" x14ac:dyDescent="0.25">
      <c r="A53" s="5"/>
      <c r="B53" s="5"/>
      <c r="C53" s="5"/>
      <c r="D53" s="5" t="s">
        <v>29</v>
      </c>
      <c r="E53" s="204">
        <v>0</v>
      </c>
      <c r="F53" s="204">
        <v>2450</v>
      </c>
      <c r="G53" s="204">
        <v>1900</v>
      </c>
      <c r="H53" s="204">
        <v>1600</v>
      </c>
      <c r="I53" s="204">
        <v>1600</v>
      </c>
      <c r="J53" s="204">
        <v>1600</v>
      </c>
      <c r="K53" s="204">
        <v>1500</v>
      </c>
      <c r="L53">
        <v>1400</v>
      </c>
      <c r="M53">
        <v>1400</v>
      </c>
      <c r="N53">
        <v>1400</v>
      </c>
      <c r="Q53" s="204"/>
      <c r="R53" s="204"/>
    </row>
    <row r="54" spans="1:18" x14ac:dyDescent="0.25">
      <c r="A54" s="5"/>
      <c r="B54" s="5"/>
      <c r="C54" s="5"/>
      <c r="D54" s="5" t="s">
        <v>30</v>
      </c>
      <c r="E54" s="204">
        <v>0</v>
      </c>
      <c r="F54" s="204">
        <v>2450</v>
      </c>
      <c r="G54" s="204">
        <v>1900</v>
      </c>
      <c r="H54" s="204">
        <v>1600</v>
      </c>
      <c r="I54" s="204">
        <v>1600</v>
      </c>
      <c r="J54" s="204">
        <v>1600</v>
      </c>
      <c r="K54" s="204">
        <v>1500</v>
      </c>
      <c r="L54">
        <v>1400</v>
      </c>
      <c r="M54">
        <v>1400</v>
      </c>
      <c r="N54">
        <v>1400</v>
      </c>
      <c r="Q54" s="204"/>
      <c r="R54" s="204"/>
    </row>
    <row r="55" spans="1:18" x14ac:dyDescent="0.25">
      <c r="A55" s="5"/>
      <c r="B55" s="5"/>
      <c r="C55" s="5"/>
      <c r="D55" s="5" t="s">
        <v>31</v>
      </c>
      <c r="E55" s="204">
        <v>0</v>
      </c>
      <c r="F55" s="204">
        <v>3300</v>
      </c>
      <c r="G55" s="204">
        <v>2650</v>
      </c>
      <c r="H55" s="204">
        <v>2200</v>
      </c>
      <c r="I55" s="204">
        <v>2200</v>
      </c>
      <c r="J55" s="204">
        <v>2200</v>
      </c>
      <c r="K55" s="204">
        <v>2000</v>
      </c>
      <c r="L55">
        <v>1800</v>
      </c>
      <c r="M55">
        <v>1800</v>
      </c>
      <c r="N55">
        <v>1800</v>
      </c>
      <c r="Q55" s="204"/>
      <c r="R55" s="204"/>
    </row>
    <row r="56" spans="1:18" x14ac:dyDescent="0.25">
      <c r="A56" s="5"/>
      <c r="B56" s="5"/>
      <c r="C56" s="5"/>
      <c r="D56" s="5"/>
      <c r="E56" s="204"/>
      <c r="F56" s="204"/>
      <c r="G56" s="204"/>
      <c r="H56" s="204"/>
      <c r="Q56" s="204"/>
      <c r="R56" s="204"/>
    </row>
    <row r="57" spans="1:18" x14ac:dyDescent="0.25">
      <c r="A57" s="5"/>
      <c r="B57" s="5"/>
      <c r="C57" s="5"/>
      <c r="D57" s="190" t="s">
        <v>84</v>
      </c>
      <c r="E57" s="205"/>
      <c r="F57" s="204"/>
      <c r="G57" s="204"/>
      <c r="H57" s="204"/>
      <c r="Q57" s="204"/>
      <c r="R57" s="204"/>
    </row>
    <row r="58" spans="1:18" x14ac:dyDescent="0.25">
      <c r="A58" s="5"/>
      <c r="B58" s="5"/>
      <c r="C58" s="5"/>
      <c r="D58" s="5"/>
      <c r="E58" s="207">
        <f>E$5</f>
        <v>1</v>
      </c>
      <c r="F58" s="207">
        <f t="shared" ref="F58:N58" si="9">F$5</f>
        <v>40179</v>
      </c>
      <c r="G58" s="207">
        <f t="shared" si="9"/>
        <v>40544</v>
      </c>
      <c r="H58" s="207">
        <f t="shared" si="9"/>
        <v>40909</v>
      </c>
      <c r="I58" s="207">
        <f t="shared" si="9"/>
        <v>40969</v>
      </c>
      <c r="J58" s="207">
        <f t="shared" si="9"/>
        <v>41183</v>
      </c>
      <c r="K58" s="207">
        <f t="shared" si="9"/>
        <v>41275</v>
      </c>
      <c r="L58" s="207">
        <f t="shared" si="9"/>
        <v>41640</v>
      </c>
      <c r="M58" s="207">
        <f t="shared" si="9"/>
        <v>42095</v>
      </c>
      <c r="N58" s="207">
        <f t="shared" si="9"/>
        <v>42278</v>
      </c>
      <c r="Q58" s="204"/>
      <c r="R58" s="204"/>
    </row>
    <row r="59" spans="1:18" x14ac:dyDescent="0.25">
      <c r="A59" s="5"/>
      <c r="B59" s="5"/>
      <c r="C59" s="5"/>
      <c r="D59" s="5" t="s">
        <v>29</v>
      </c>
      <c r="E59" s="204">
        <v>0</v>
      </c>
      <c r="F59" s="204">
        <v>1850</v>
      </c>
      <c r="G59" s="204">
        <v>1450</v>
      </c>
      <c r="H59" s="204">
        <v>1200</v>
      </c>
      <c r="I59" s="204">
        <v>1200</v>
      </c>
      <c r="J59" s="204">
        <v>1200</v>
      </c>
      <c r="K59" s="204">
        <v>1000</v>
      </c>
      <c r="L59">
        <v>850</v>
      </c>
      <c r="M59">
        <v>680</v>
      </c>
      <c r="N59">
        <v>500</v>
      </c>
      <c r="Q59" s="204"/>
      <c r="R59" s="204"/>
    </row>
    <row r="60" spans="1:18" x14ac:dyDescent="0.25">
      <c r="A60" s="5"/>
      <c r="B60" s="5"/>
      <c r="C60" s="5"/>
      <c r="D60" s="5" t="s">
        <v>30</v>
      </c>
      <c r="E60" s="204">
        <v>0</v>
      </c>
      <c r="F60" s="204">
        <v>1850</v>
      </c>
      <c r="G60" s="204">
        <v>1450</v>
      </c>
      <c r="H60" s="204">
        <v>1200</v>
      </c>
      <c r="I60" s="204">
        <v>1200</v>
      </c>
      <c r="J60" s="204">
        <v>1200</v>
      </c>
      <c r="K60" s="204">
        <v>1000</v>
      </c>
      <c r="L60">
        <v>850</v>
      </c>
      <c r="M60">
        <v>680</v>
      </c>
      <c r="N60">
        <v>500</v>
      </c>
      <c r="Q60" s="204"/>
      <c r="R60" s="204"/>
    </row>
    <row r="61" spans="1:18" x14ac:dyDescent="0.25">
      <c r="A61" s="5"/>
      <c r="B61" s="5"/>
      <c r="C61" s="5"/>
      <c r="D61" s="5" t="s">
        <v>31</v>
      </c>
      <c r="E61" s="204">
        <v>0</v>
      </c>
      <c r="F61" s="204">
        <v>2100</v>
      </c>
      <c r="G61" s="204">
        <v>1700</v>
      </c>
      <c r="H61" s="204">
        <v>1400</v>
      </c>
      <c r="I61" s="204">
        <v>1400</v>
      </c>
      <c r="J61" s="204">
        <v>1400</v>
      </c>
      <c r="K61" s="204">
        <v>1200</v>
      </c>
      <c r="L61">
        <v>1050</v>
      </c>
      <c r="M61">
        <v>830</v>
      </c>
      <c r="N61">
        <v>610</v>
      </c>
      <c r="Q61" s="204"/>
      <c r="R61" s="204"/>
    </row>
    <row r="62" spans="1:18" x14ac:dyDescent="0.25">
      <c r="A62" s="5"/>
      <c r="B62" s="5"/>
      <c r="C62" s="5"/>
      <c r="D62" s="5"/>
    </row>
    <row r="63" spans="1:18" x14ac:dyDescent="0.25">
      <c r="A63" s="5"/>
      <c r="B63" s="5"/>
      <c r="C63" s="5"/>
      <c r="D63" s="5"/>
    </row>
    <row r="64" spans="1:18" x14ac:dyDescent="0.25">
      <c r="A64" s="195" t="s">
        <v>87</v>
      </c>
      <c r="B64" s="195"/>
      <c r="C64" s="112"/>
      <c r="D64" s="5"/>
    </row>
    <row r="65" spans="1:5" x14ac:dyDescent="0.25">
      <c r="A65" s="113" t="s">
        <v>68</v>
      </c>
      <c r="B65" s="168" t="str">
        <f>type_installation</f>
        <v>Ajoutée</v>
      </c>
      <c r="C65" s="112"/>
      <c r="D65" s="5"/>
    </row>
    <row r="66" spans="1:5" x14ac:dyDescent="0.25">
      <c r="A66" s="167" t="s">
        <v>102</v>
      </c>
      <c r="B66" s="171">
        <f>date_mise_en_service</f>
        <v>41791</v>
      </c>
      <c r="C66" s="163"/>
      <c r="D66" s="5"/>
    </row>
    <row r="67" spans="1:5" x14ac:dyDescent="0.25">
      <c r="A67" s="113"/>
      <c r="B67" s="113"/>
      <c r="C67" s="113"/>
      <c r="D67" s="5"/>
    </row>
    <row r="68" spans="1:5" x14ac:dyDescent="0.25">
      <c r="A68" s="164" t="s">
        <v>83</v>
      </c>
      <c r="B68" s="168">
        <f>VLOOKUP(B65,$D$53:$BZ$55,E42,0)</f>
        <v>1400</v>
      </c>
      <c r="C68" s="112"/>
      <c r="D68" s="176"/>
      <c r="E68" s="177"/>
    </row>
    <row r="69" spans="1:5" x14ac:dyDescent="0.25">
      <c r="A69" s="164" t="s">
        <v>69</v>
      </c>
      <c r="B69" s="168">
        <f>VLOOKUP(B65,$D$59:$BZ$61,E42,0)</f>
        <v>850</v>
      </c>
      <c r="C69" s="112"/>
      <c r="D69" s="176"/>
      <c r="E69" s="177"/>
    </row>
    <row r="70" spans="1:5" x14ac:dyDescent="0.25">
      <c r="A70" s="168"/>
      <c r="B70" s="168"/>
      <c r="C70" s="168"/>
      <c r="D70" s="176"/>
      <c r="E70" s="177"/>
    </row>
    <row r="71" spans="1:5" x14ac:dyDescent="0.25">
      <c r="A71" s="168"/>
      <c r="B71" s="168"/>
      <c r="C71" s="168"/>
      <c r="D71" s="176"/>
      <c r="E71" s="177"/>
    </row>
    <row r="72" spans="1:5" ht="17.25" customHeight="1" x14ac:dyDescent="0.25"/>
    <row r="73" spans="1:5" ht="17.25" customHeight="1" x14ac:dyDescent="0.25"/>
    <row r="74" spans="1:5" ht="17.25" customHeight="1" x14ac:dyDescent="0.25"/>
  </sheetData>
  <sheetProtection selectLockedCells="1"/>
  <mergeCells count="1">
    <mergeCell ref="A41:C41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J19"/>
  <sheetViews>
    <sheetView zoomScale="85" zoomScaleNormal="85" workbookViewId="0">
      <selection sqref="A1:IV65536"/>
    </sheetView>
  </sheetViews>
  <sheetFormatPr baseColWidth="10" defaultRowHeight="15.75" x14ac:dyDescent="0.25"/>
  <cols>
    <col min="2" max="2" width="11.25" customWidth="1"/>
  </cols>
  <sheetData>
    <row r="2" spans="1:10" x14ac:dyDescent="0.25">
      <c r="B2" s="5"/>
    </row>
    <row r="3" spans="1:10" x14ac:dyDescent="0.25">
      <c r="B3" s="5"/>
    </row>
    <row r="4" spans="1:10" x14ac:dyDescent="0.25">
      <c r="B4" s="5"/>
    </row>
    <row r="5" spans="1:10" x14ac:dyDescent="0.25">
      <c r="B5" s="5"/>
    </row>
    <row r="6" spans="1:10" x14ac:dyDescent="0.25">
      <c r="B6" s="5"/>
    </row>
    <row r="7" spans="1:10" x14ac:dyDescent="0.25">
      <c r="B7" s="5"/>
      <c r="C7" t="s">
        <v>103</v>
      </c>
    </row>
    <row r="8" spans="1:10" x14ac:dyDescent="0.25">
      <c r="B8" s="5"/>
      <c r="C8" s="234" t="s">
        <v>100</v>
      </c>
      <c r="D8" s="234"/>
      <c r="E8" s="234"/>
      <c r="F8" s="234"/>
      <c r="G8" s="234"/>
      <c r="H8" s="234"/>
    </row>
    <row r="9" spans="1:10" x14ac:dyDescent="0.25">
      <c r="C9" s="5" t="s">
        <v>93</v>
      </c>
      <c r="D9" s="5" t="s">
        <v>40</v>
      </c>
      <c r="E9" s="5" t="s">
        <v>41</v>
      </c>
      <c r="F9" s="5" t="s">
        <v>42</v>
      </c>
      <c r="G9" s="5" t="s">
        <v>43</v>
      </c>
      <c r="H9" s="5" t="s">
        <v>44</v>
      </c>
    </row>
    <row r="10" spans="1:10" x14ac:dyDescent="0.25">
      <c r="B10" s="159"/>
      <c r="C10" s="162">
        <v>0</v>
      </c>
      <c r="D10" s="162" t="s">
        <v>33</v>
      </c>
      <c r="E10" s="162" t="s">
        <v>34</v>
      </c>
      <c r="F10" s="162" t="s">
        <v>35</v>
      </c>
      <c r="G10" s="162" t="s">
        <v>36</v>
      </c>
      <c r="H10" s="162" t="s">
        <v>37</v>
      </c>
      <c r="J10" s="162"/>
    </row>
    <row r="11" spans="1:10" x14ac:dyDescent="0.25">
      <c r="A11" s="233" t="s">
        <v>94</v>
      </c>
      <c r="B11" s="160">
        <v>2011</v>
      </c>
      <c r="C11" t="s">
        <v>95</v>
      </c>
      <c r="D11" t="s">
        <v>101</v>
      </c>
      <c r="E11" t="s">
        <v>101</v>
      </c>
      <c r="F11" t="s">
        <v>95</v>
      </c>
      <c r="G11" t="s">
        <v>95</v>
      </c>
      <c r="H11" t="s">
        <v>95</v>
      </c>
    </row>
    <row r="12" spans="1:10" x14ac:dyDescent="0.25">
      <c r="A12" s="233"/>
      <c r="B12" s="160">
        <v>2012</v>
      </c>
      <c r="C12" t="s">
        <v>95</v>
      </c>
      <c r="D12" t="s">
        <v>101</v>
      </c>
      <c r="E12" t="s">
        <v>101</v>
      </c>
      <c r="F12" t="s">
        <v>95</v>
      </c>
      <c r="G12" t="s">
        <v>95</v>
      </c>
      <c r="H12" t="s">
        <v>95</v>
      </c>
    </row>
    <row r="13" spans="1:10" x14ac:dyDescent="0.25">
      <c r="A13" s="233"/>
      <c r="B13" s="160">
        <v>2013</v>
      </c>
      <c r="C13" t="s">
        <v>96</v>
      </c>
      <c r="D13" t="s">
        <v>87</v>
      </c>
      <c r="E13" t="s">
        <v>101</v>
      </c>
      <c r="F13" t="s">
        <v>95</v>
      </c>
      <c r="G13" t="s">
        <v>95</v>
      </c>
      <c r="H13" t="s">
        <v>95</v>
      </c>
    </row>
    <row r="14" spans="1:10" x14ac:dyDescent="0.25">
      <c r="A14" s="233"/>
      <c r="B14" s="160">
        <v>2014</v>
      </c>
      <c r="C14" t="s">
        <v>96</v>
      </c>
      <c r="D14" t="s">
        <v>87</v>
      </c>
      <c r="E14" t="s">
        <v>101</v>
      </c>
      <c r="F14" t="s">
        <v>95</v>
      </c>
      <c r="G14" t="s">
        <v>95</v>
      </c>
      <c r="H14" t="s">
        <v>95</v>
      </c>
    </row>
    <row r="15" spans="1:10" x14ac:dyDescent="0.25">
      <c r="A15" s="161"/>
      <c r="B15" s="160">
        <v>2015</v>
      </c>
      <c r="C15" t="s">
        <v>96</v>
      </c>
      <c r="D15" t="s">
        <v>87</v>
      </c>
      <c r="E15" t="s">
        <v>101</v>
      </c>
      <c r="F15" t="s">
        <v>95</v>
      </c>
      <c r="G15" t="s">
        <v>95</v>
      </c>
      <c r="H15" t="s">
        <v>95</v>
      </c>
    </row>
    <row r="17" spans="2:4" x14ac:dyDescent="0.25">
      <c r="B17" t="s">
        <v>98</v>
      </c>
      <c r="C17">
        <f>annee_annonce</f>
        <v>2014</v>
      </c>
      <c r="D17">
        <f>MATCH(C17,B11:B14)+1</f>
        <v>5</v>
      </c>
    </row>
    <row r="18" spans="2:4" x14ac:dyDescent="0.25">
      <c r="B18" t="s">
        <v>92</v>
      </c>
      <c r="C18" t="str">
        <f>categorie_puissance</f>
        <v>A</v>
      </c>
      <c r="D18">
        <f>MATCH(C18,C10:G10)+1</f>
        <v>3</v>
      </c>
    </row>
    <row r="19" spans="2:4" x14ac:dyDescent="0.25">
      <c r="B19" t="s">
        <v>99</v>
      </c>
      <c r="C19" t="str">
        <f>INDEX(B10:G14,D17,D18)</f>
        <v>RU</v>
      </c>
    </row>
  </sheetData>
  <sheetProtection sheet="1" selectLockedCells="1"/>
  <mergeCells count="2">
    <mergeCell ref="A11:A14"/>
    <mergeCell ref="C8:H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U42"/>
  <sheetViews>
    <sheetView zoomScale="85" zoomScaleNormal="85" workbookViewId="0">
      <selection activeCell="B2" sqref="B2"/>
    </sheetView>
  </sheetViews>
  <sheetFormatPr baseColWidth="10" defaultRowHeight="15.75" x14ac:dyDescent="0.25"/>
  <cols>
    <col min="1" max="1" width="1" customWidth="1"/>
    <col min="6" max="6" width="2.875" customWidth="1"/>
    <col min="11" max="11" width="2.875" customWidth="1"/>
    <col min="16" max="16" width="2.625" customWidth="1"/>
    <col min="21" max="21" width="1.875" customWidth="1"/>
  </cols>
  <sheetData>
    <row r="1" spans="1:21" x14ac:dyDescent="0.25">
      <c r="B1" t="s">
        <v>117</v>
      </c>
    </row>
    <row r="2" spans="1:21" ht="16.5" thickBot="1" x14ac:dyDescent="0.3"/>
    <row r="3" spans="1:21" x14ac:dyDescent="0.25">
      <c r="A3" s="97"/>
      <c r="B3" s="98" t="s">
        <v>61</v>
      </c>
      <c r="C3" s="99"/>
      <c r="D3" s="99"/>
      <c r="E3" s="99"/>
      <c r="F3" s="84"/>
      <c r="G3" s="103" t="s">
        <v>60</v>
      </c>
      <c r="H3" s="99"/>
      <c r="I3" s="99"/>
      <c r="J3" s="99"/>
      <c r="K3" s="99"/>
      <c r="L3" s="98" t="s">
        <v>49</v>
      </c>
      <c r="M3" s="118"/>
      <c r="N3" s="118"/>
      <c r="O3" s="118"/>
      <c r="P3" s="84"/>
      <c r="Q3" s="103" t="s">
        <v>21</v>
      </c>
      <c r="R3" s="99"/>
      <c r="S3" s="99"/>
      <c r="T3" s="99"/>
      <c r="U3" s="101"/>
    </row>
    <row r="4" spans="1:21" x14ac:dyDescent="0.25">
      <c r="A4" s="100"/>
      <c r="B4" s="14" t="s">
        <v>47</v>
      </c>
      <c r="C4" s="15"/>
      <c r="D4" s="15"/>
      <c r="E4" s="94">
        <v>40</v>
      </c>
      <c r="F4" s="85"/>
      <c r="G4" s="14" t="s">
        <v>53</v>
      </c>
      <c r="H4" s="15"/>
      <c r="I4" s="15"/>
      <c r="J4" s="94">
        <v>20000</v>
      </c>
      <c r="K4" s="116"/>
      <c r="L4" s="61" t="s">
        <v>57</v>
      </c>
      <c r="M4" s="61"/>
      <c r="N4" s="61"/>
      <c r="O4" s="136">
        <v>0.15</v>
      </c>
      <c r="P4" s="85"/>
      <c r="Q4" s="126" t="s">
        <v>51</v>
      </c>
      <c r="R4" s="15"/>
      <c r="S4" s="133"/>
      <c r="T4" s="94">
        <v>2300</v>
      </c>
      <c r="U4" s="102"/>
    </row>
    <row r="5" spans="1:21" x14ac:dyDescent="0.25">
      <c r="A5" s="100"/>
      <c r="B5" s="18" t="s">
        <v>39</v>
      </c>
      <c r="C5" s="16"/>
      <c r="D5" s="6"/>
      <c r="E5" s="121" t="s">
        <v>30</v>
      </c>
      <c r="F5" s="85"/>
      <c r="G5" s="18" t="s">
        <v>54</v>
      </c>
      <c r="H5" s="6"/>
      <c r="I5" s="6"/>
      <c r="J5" s="94">
        <v>0</v>
      </c>
      <c r="K5" s="116"/>
      <c r="L5" s="61" t="s">
        <v>18</v>
      </c>
      <c r="M5" s="61"/>
      <c r="N5" s="61"/>
      <c r="O5" s="121" t="s">
        <v>116</v>
      </c>
      <c r="P5" s="85"/>
      <c r="Q5" s="18" t="s">
        <v>5</v>
      </c>
      <c r="R5" s="6"/>
      <c r="S5" s="6"/>
      <c r="T5" s="72">
        <f>1-T4/E11</f>
        <v>0.65151515151515149</v>
      </c>
      <c r="U5" s="102"/>
    </row>
    <row r="6" spans="1:21" x14ac:dyDescent="0.25">
      <c r="A6" s="100"/>
      <c r="B6" s="20" t="s">
        <v>2</v>
      </c>
      <c r="C6" s="21"/>
      <c r="D6" s="6"/>
      <c r="E6" s="94">
        <v>6</v>
      </c>
      <c r="F6" s="85"/>
      <c r="G6" s="18" t="s">
        <v>65</v>
      </c>
      <c r="H6" s="6"/>
      <c r="I6" s="6"/>
      <c r="J6" s="63">
        <f>J4-J5-O13</f>
        <v>13500</v>
      </c>
      <c r="K6" s="117"/>
      <c r="L6" s="19" t="s">
        <v>48</v>
      </c>
      <c r="M6" s="19"/>
      <c r="N6" s="19"/>
      <c r="O6" s="134">
        <v>0.2</v>
      </c>
      <c r="P6" s="85"/>
      <c r="Q6" s="18" t="s">
        <v>28</v>
      </c>
      <c r="R6" s="6"/>
      <c r="S6" s="6"/>
      <c r="T6" s="217">
        <f>rpc_version_avancee</f>
        <v>0.26400000000000001</v>
      </c>
      <c r="U6" s="102"/>
    </row>
    <row r="7" spans="1:21" x14ac:dyDescent="0.25">
      <c r="A7" s="100"/>
      <c r="B7" s="18" t="s">
        <v>26</v>
      </c>
      <c r="C7" s="6"/>
      <c r="D7" s="6"/>
      <c r="E7" s="108">
        <f>E6/E4*1000</f>
        <v>150</v>
      </c>
      <c r="F7" s="85"/>
      <c r="G7" s="18" t="s">
        <v>22</v>
      </c>
      <c r="H7" s="6"/>
      <c r="I7" s="19">
        <f>J6*J7</f>
        <v>13500</v>
      </c>
      <c r="J7" s="214">
        <v>1</v>
      </c>
      <c r="K7" s="116"/>
      <c r="L7" s="22" t="s">
        <v>59</v>
      </c>
      <c r="M7" s="23"/>
      <c r="N7" s="23"/>
      <c r="O7" s="120">
        <v>10000</v>
      </c>
      <c r="P7" s="85"/>
      <c r="Q7" s="18" t="s">
        <v>90</v>
      </c>
      <c r="R7" s="6"/>
      <c r="S7" s="6"/>
      <c r="T7" s="94">
        <v>0.06</v>
      </c>
      <c r="U7" s="102"/>
    </row>
    <row r="8" spans="1:21" x14ac:dyDescent="0.25">
      <c r="A8" s="100"/>
      <c r="B8" s="18" t="s">
        <v>38</v>
      </c>
      <c r="C8" s="6"/>
      <c r="D8" s="6"/>
      <c r="E8" s="71"/>
      <c r="F8" s="85"/>
      <c r="G8" s="18" t="s">
        <v>9</v>
      </c>
      <c r="H8" s="6"/>
      <c r="I8" s="19">
        <f>J6-I7</f>
        <v>0</v>
      </c>
      <c r="J8" s="215">
        <f>1-J7</f>
        <v>0</v>
      </c>
      <c r="K8" s="105"/>
      <c r="L8" s="151" t="s">
        <v>111</v>
      </c>
      <c r="M8" s="85"/>
      <c r="N8" s="119"/>
      <c r="O8" s="85"/>
      <c r="P8" s="85"/>
      <c r="Q8" s="17" t="s">
        <v>91</v>
      </c>
      <c r="R8" s="6"/>
      <c r="S8" s="6"/>
      <c r="T8" s="94">
        <v>0.18</v>
      </c>
      <c r="U8" s="102"/>
    </row>
    <row r="9" spans="1:21" x14ac:dyDescent="0.25">
      <c r="A9" s="100"/>
      <c r="B9" s="20" t="s">
        <v>3</v>
      </c>
      <c r="C9" s="21"/>
      <c r="D9" s="6"/>
      <c r="E9" s="94">
        <v>1100</v>
      </c>
      <c r="F9" s="85"/>
      <c r="G9" s="17" t="s">
        <v>15</v>
      </c>
      <c r="H9" s="19"/>
      <c r="I9" s="73"/>
      <c r="J9" s="96">
        <v>2.75E-2</v>
      </c>
      <c r="K9" s="105"/>
      <c r="L9" s="6"/>
      <c r="M9" s="6"/>
      <c r="N9" s="6"/>
      <c r="O9" s="6"/>
      <c r="P9" s="85"/>
      <c r="Q9" s="17" t="s">
        <v>73</v>
      </c>
      <c r="R9" s="6"/>
      <c r="S9" s="6"/>
      <c r="T9" s="115">
        <v>2.5000000000000001E-2</v>
      </c>
      <c r="U9" s="102"/>
    </row>
    <row r="10" spans="1:21" x14ac:dyDescent="0.25">
      <c r="A10" s="100"/>
      <c r="B10" s="20" t="s">
        <v>4</v>
      </c>
      <c r="C10" s="21"/>
      <c r="D10" s="6"/>
      <c r="E10" s="95">
        <v>8.0000000000000002E-3</v>
      </c>
      <c r="F10" s="85"/>
      <c r="G10" s="18" t="s">
        <v>55</v>
      </c>
      <c r="H10" s="6"/>
      <c r="I10" s="6"/>
      <c r="J10" s="64">
        <f>J4/E6</f>
        <v>3333.3333333333335</v>
      </c>
      <c r="K10" s="105"/>
      <c r="L10" s="152" t="s">
        <v>113</v>
      </c>
      <c r="M10" s="152"/>
      <c r="N10" s="153"/>
      <c r="O10" s="121" t="s">
        <v>87</v>
      </c>
      <c r="P10" s="85"/>
      <c r="Q10" s="18" t="s">
        <v>74</v>
      </c>
      <c r="R10" s="6"/>
      <c r="S10" s="6"/>
      <c r="T10" s="25">
        <f>T8*(1-(1+T9)^26)/(1-(1+T9))/26</f>
        <v>0.24931182483144282</v>
      </c>
      <c r="U10" s="102"/>
    </row>
    <row r="11" spans="1:21" x14ac:dyDescent="0.25">
      <c r="A11" s="100"/>
      <c r="B11" s="130" t="s">
        <v>52</v>
      </c>
      <c r="C11" s="131"/>
      <c r="D11" s="24"/>
      <c r="E11" s="132">
        <f>E9*E6</f>
        <v>6600</v>
      </c>
      <c r="F11" s="85"/>
      <c r="G11" s="18" t="s">
        <v>56</v>
      </c>
      <c r="H11" s="6"/>
      <c r="I11" s="6"/>
      <c r="J11" s="122">
        <v>25</v>
      </c>
      <c r="K11" s="105"/>
      <c r="L11" s="6" t="s">
        <v>97</v>
      </c>
      <c r="M11" s="6"/>
      <c r="N11" s="6"/>
      <c r="O11" s="94">
        <v>2014</v>
      </c>
      <c r="P11" s="85"/>
      <c r="Q11" s="17" t="s">
        <v>75</v>
      </c>
      <c r="R11" s="6"/>
      <c r="S11" s="6"/>
      <c r="T11" s="28">
        <f>T8*(1+T9)^(25-1)</f>
        <v>0.32557067092486597</v>
      </c>
      <c r="U11" s="102"/>
    </row>
    <row r="12" spans="1:21" x14ac:dyDescent="0.25">
      <c r="A12" s="100"/>
      <c r="B12" s="104"/>
      <c r="C12" s="104"/>
      <c r="D12" s="104"/>
      <c r="E12" s="157"/>
      <c r="F12" s="129"/>
      <c r="G12" s="27" t="s">
        <v>72</v>
      </c>
      <c r="H12" s="24"/>
      <c r="I12" s="24"/>
      <c r="J12" s="115">
        <v>3.0000000000000001E-3</v>
      </c>
      <c r="K12" s="105"/>
      <c r="L12" s="6" t="s">
        <v>89</v>
      </c>
      <c r="M12" s="6"/>
      <c r="N12" s="6"/>
      <c r="O12" s="208">
        <v>41791</v>
      </c>
      <c r="P12" s="156"/>
      <c r="Q12" s="17" t="s">
        <v>23</v>
      </c>
      <c r="R12" s="6"/>
      <c r="S12" s="6"/>
      <c r="T12" s="137">
        <v>8</v>
      </c>
      <c r="U12" s="102"/>
    </row>
    <row r="13" spans="1:21" x14ac:dyDescent="0.25">
      <c r="A13" s="100"/>
      <c r="B13" s="104"/>
      <c r="C13" s="104"/>
      <c r="D13" s="104"/>
      <c r="E13" s="157"/>
      <c r="F13" s="85"/>
      <c r="G13" s="104"/>
      <c r="H13" s="104"/>
      <c r="I13" s="104"/>
      <c r="J13" s="104"/>
      <c r="K13" s="104"/>
      <c r="L13" s="152" t="s">
        <v>88</v>
      </c>
      <c r="M13" s="154"/>
      <c r="N13" s="155"/>
      <c r="O13" s="218">
        <f>IF(type_subvention_avancee="RU",ru_base+ru_puissance*puissance_installee,0)</f>
        <v>6500</v>
      </c>
      <c r="P13" s="209">
        <f>subvention_init_avancee/cout_total</f>
        <v>0.32500000000000001</v>
      </c>
      <c r="Q13" s="27" t="s">
        <v>115</v>
      </c>
      <c r="R13" s="24"/>
      <c r="S13" s="24"/>
      <c r="T13" s="216">
        <f>IF(O12&gt;DATE(2014,1,1),20,25)</f>
        <v>20</v>
      </c>
      <c r="U13" s="102"/>
    </row>
    <row r="14" spans="1:21" ht="5.25" customHeight="1" thickBot="1" x14ac:dyDescent="0.3">
      <c r="A14" s="219"/>
      <c r="B14" s="220"/>
      <c r="C14" s="220"/>
      <c r="D14" s="220"/>
      <c r="E14" s="221"/>
      <c r="F14" s="220"/>
      <c r="G14" s="220"/>
      <c r="H14" s="220"/>
      <c r="I14" s="220"/>
      <c r="J14" s="222"/>
      <c r="K14" s="223"/>
      <c r="L14" s="223"/>
      <c r="M14" s="223"/>
      <c r="N14" s="223"/>
      <c r="O14" s="223"/>
      <c r="P14" s="220"/>
      <c r="Q14" s="220"/>
      <c r="R14" s="220"/>
      <c r="S14" s="220"/>
      <c r="T14" s="220"/>
      <c r="U14" s="224"/>
    </row>
    <row r="16" spans="1:21" ht="16.5" thickBot="1" x14ac:dyDescent="0.3"/>
    <row r="17" spans="1:21" x14ac:dyDescent="0.25">
      <c r="A17" s="97"/>
      <c r="B17" s="98" t="s">
        <v>61</v>
      </c>
      <c r="C17" s="99"/>
      <c r="D17" s="99"/>
      <c r="E17" s="99"/>
      <c r="F17" s="84"/>
      <c r="G17" s="103" t="s">
        <v>60</v>
      </c>
      <c r="H17" s="99"/>
      <c r="I17" s="99"/>
      <c r="J17" s="99"/>
      <c r="K17" s="99"/>
      <c r="L17" s="98" t="s">
        <v>49</v>
      </c>
      <c r="M17" s="118"/>
      <c r="N17" s="118"/>
      <c r="O17" s="118"/>
      <c r="P17" s="84"/>
      <c r="Q17" s="103" t="s">
        <v>21</v>
      </c>
      <c r="R17" s="99"/>
      <c r="S17" s="99"/>
      <c r="T17" s="99"/>
      <c r="U17" s="101"/>
    </row>
    <row r="18" spans="1:21" x14ac:dyDescent="0.25">
      <c r="A18" s="100"/>
      <c r="B18" s="14" t="s">
        <v>47</v>
      </c>
      <c r="C18" s="15"/>
      <c r="D18" s="15"/>
      <c r="E18" s="94">
        <v>130</v>
      </c>
      <c r="F18" s="85"/>
      <c r="G18" s="14" t="s">
        <v>53</v>
      </c>
      <c r="H18" s="15"/>
      <c r="I18" s="15"/>
      <c r="J18" s="94">
        <v>51000</v>
      </c>
      <c r="K18" s="116"/>
      <c r="L18" s="61" t="s">
        <v>57</v>
      </c>
      <c r="M18" s="61"/>
      <c r="N18" s="61"/>
      <c r="O18" s="136">
        <v>0.15</v>
      </c>
      <c r="P18" s="85"/>
      <c r="Q18" s="126" t="s">
        <v>51</v>
      </c>
      <c r="R18" s="15"/>
      <c r="S18" s="133"/>
      <c r="T18" s="94">
        <v>6000</v>
      </c>
      <c r="U18" s="102"/>
    </row>
    <row r="19" spans="1:21" x14ac:dyDescent="0.25">
      <c r="A19" s="100"/>
      <c r="B19" s="18" t="s">
        <v>39</v>
      </c>
      <c r="C19" s="16"/>
      <c r="D19" s="6"/>
      <c r="E19" s="121" t="s">
        <v>30</v>
      </c>
      <c r="F19" s="85"/>
      <c r="G19" s="18" t="s">
        <v>54</v>
      </c>
      <c r="H19" s="6"/>
      <c r="I19" s="6"/>
      <c r="J19" s="94">
        <v>0</v>
      </c>
      <c r="K19" s="116"/>
      <c r="L19" s="61" t="s">
        <v>18</v>
      </c>
      <c r="M19" s="61"/>
      <c r="N19" s="61"/>
      <c r="O19" s="121" t="s">
        <v>116</v>
      </c>
      <c r="P19" s="85"/>
      <c r="Q19" s="18" t="s">
        <v>5</v>
      </c>
      <c r="R19" s="6"/>
      <c r="S19" s="6"/>
      <c r="T19" s="72">
        <f>1-T18/E25</f>
        <v>0.72727272727272729</v>
      </c>
      <c r="U19" s="102"/>
    </row>
    <row r="20" spans="1:21" x14ac:dyDescent="0.25">
      <c r="A20" s="100"/>
      <c r="B20" s="20" t="s">
        <v>2</v>
      </c>
      <c r="C20" s="21"/>
      <c r="D20" s="6"/>
      <c r="E20" s="94">
        <v>20</v>
      </c>
      <c r="F20" s="85"/>
      <c r="G20" s="18" t="s">
        <v>65</v>
      </c>
      <c r="H20" s="6"/>
      <c r="I20" s="6"/>
      <c r="J20" s="63">
        <f>J18-J19-O27</f>
        <v>44500</v>
      </c>
      <c r="K20" s="117"/>
      <c r="L20" s="19" t="s">
        <v>48</v>
      </c>
      <c r="M20" s="19"/>
      <c r="N20" s="19"/>
      <c r="O20" s="134">
        <v>0.2</v>
      </c>
      <c r="P20" s="85"/>
      <c r="Q20" s="18" t="s">
        <v>28</v>
      </c>
      <c r="R20" s="6"/>
      <c r="S20" s="6"/>
      <c r="T20" s="217">
        <f>rpc_version_avancee</f>
        <v>0.26400000000000001</v>
      </c>
      <c r="U20" s="102"/>
    </row>
    <row r="21" spans="1:21" x14ac:dyDescent="0.25">
      <c r="A21" s="100"/>
      <c r="B21" s="18" t="s">
        <v>26</v>
      </c>
      <c r="C21" s="6"/>
      <c r="D21" s="6"/>
      <c r="E21" s="108">
        <f>E20/E18*1000</f>
        <v>153.84615384615387</v>
      </c>
      <c r="F21" s="85"/>
      <c r="G21" s="18" t="s">
        <v>22</v>
      </c>
      <c r="H21" s="6"/>
      <c r="I21" s="19">
        <f>J20*J21</f>
        <v>44500</v>
      </c>
      <c r="J21" s="214">
        <v>1</v>
      </c>
      <c r="K21" s="116"/>
      <c r="L21" s="22" t="s">
        <v>59</v>
      </c>
      <c r="M21" s="23"/>
      <c r="N21" s="23"/>
      <c r="O21" s="120">
        <v>10000</v>
      </c>
      <c r="P21" s="85"/>
      <c r="Q21" s="18" t="s">
        <v>90</v>
      </c>
      <c r="R21" s="6"/>
      <c r="S21" s="6"/>
      <c r="T21" s="94">
        <v>0.06</v>
      </c>
      <c r="U21" s="102"/>
    </row>
    <row r="22" spans="1:21" x14ac:dyDescent="0.25">
      <c r="A22" s="100"/>
      <c r="B22" s="18" t="s">
        <v>38</v>
      </c>
      <c r="C22" s="6"/>
      <c r="D22" s="6"/>
      <c r="E22" s="71"/>
      <c r="F22" s="85"/>
      <c r="G22" s="18" t="s">
        <v>9</v>
      </c>
      <c r="H22" s="6"/>
      <c r="I22" s="19">
        <f>J20-I21</f>
        <v>0</v>
      </c>
      <c r="J22" s="215">
        <f>1-J21</f>
        <v>0</v>
      </c>
      <c r="K22" s="105"/>
      <c r="L22" s="151" t="s">
        <v>111</v>
      </c>
      <c r="M22" s="85"/>
      <c r="N22" s="119"/>
      <c r="O22" s="85"/>
      <c r="P22" s="85"/>
      <c r="Q22" s="17" t="s">
        <v>91</v>
      </c>
      <c r="R22" s="6"/>
      <c r="S22" s="6"/>
      <c r="T22" s="94">
        <v>0.18</v>
      </c>
      <c r="U22" s="102"/>
    </row>
    <row r="23" spans="1:21" x14ac:dyDescent="0.25">
      <c r="A23" s="100"/>
      <c r="B23" s="20" t="s">
        <v>3</v>
      </c>
      <c r="C23" s="21"/>
      <c r="D23" s="6"/>
      <c r="E23" s="94">
        <v>1100</v>
      </c>
      <c r="F23" s="85"/>
      <c r="G23" s="17" t="s">
        <v>15</v>
      </c>
      <c r="H23" s="19"/>
      <c r="I23" s="73"/>
      <c r="J23" s="96">
        <v>2.75E-2</v>
      </c>
      <c r="K23" s="105"/>
      <c r="L23" s="6" t="s">
        <v>112</v>
      </c>
      <c r="M23" s="6"/>
      <c r="N23" s="6"/>
      <c r="O23" s="6" t="str">
        <f>mode_subvention_dispo</f>
        <v>RU</v>
      </c>
      <c r="P23" s="85"/>
      <c r="Q23" s="17" t="s">
        <v>73</v>
      </c>
      <c r="R23" s="6"/>
      <c r="S23" s="6"/>
      <c r="T23" s="115">
        <v>2.5000000000000001E-2</v>
      </c>
      <c r="U23" s="102"/>
    </row>
    <row r="24" spans="1:21" x14ac:dyDescent="0.25">
      <c r="A24" s="100"/>
      <c r="B24" s="20" t="s">
        <v>4</v>
      </c>
      <c r="C24" s="21"/>
      <c r="D24" s="6"/>
      <c r="E24" s="95">
        <v>8.0000000000000002E-3</v>
      </c>
      <c r="F24" s="85"/>
      <c r="G24" s="18" t="s">
        <v>55</v>
      </c>
      <c r="H24" s="6"/>
      <c r="I24" s="6"/>
      <c r="J24" s="64">
        <f>J18/E20</f>
        <v>2550</v>
      </c>
      <c r="K24" s="105"/>
      <c r="L24" s="152" t="s">
        <v>113</v>
      </c>
      <c r="M24" s="152"/>
      <c r="N24" s="153"/>
      <c r="O24" s="121" t="s">
        <v>87</v>
      </c>
      <c r="P24" s="85"/>
      <c r="Q24" s="18" t="s">
        <v>74</v>
      </c>
      <c r="R24" s="6"/>
      <c r="S24" s="6"/>
      <c r="T24" s="25">
        <f>T22*(1-(1+T23)^26)/(1-(1+T23))/26</f>
        <v>0.24931182483144282</v>
      </c>
      <c r="U24" s="102"/>
    </row>
    <row r="25" spans="1:21" x14ac:dyDescent="0.25">
      <c r="A25" s="100"/>
      <c r="B25" s="130" t="s">
        <v>52</v>
      </c>
      <c r="C25" s="131"/>
      <c r="D25" s="24"/>
      <c r="E25" s="132">
        <f>E23*E20</f>
        <v>22000</v>
      </c>
      <c r="F25" s="85"/>
      <c r="G25" s="18" t="s">
        <v>56</v>
      </c>
      <c r="H25" s="6"/>
      <c r="I25" s="6"/>
      <c r="J25" s="122">
        <v>25</v>
      </c>
      <c r="K25" s="105"/>
      <c r="L25" s="6" t="s">
        <v>97</v>
      </c>
      <c r="M25" s="6"/>
      <c r="N25" s="6"/>
      <c r="O25" s="94">
        <v>2014</v>
      </c>
      <c r="P25" s="85"/>
      <c r="Q25" s="17" t="s">
        <v>75</v>
      </c>
      <c r="R25" s="6"/>
      <c r="S25" s="6"/>
      <c r="T25" s="28">
        <f>T22*(1+T23)^(25-1)</f>
        <v>0.32557067092486597</v>
      </c>
      <c r="U25" s="102"/>
    </row>
    <row r="26" spans="1:21" x14ac:dyDescent="0.25">
      <c r="A26" s="100"/>
      <c r="B26" s="104"/>
      <c r="C26" s="104"/>
      <c r="D26" s="104"/>
      <c r="E26" s="157"/>
      <c r="F26" s="129"/>
      <c r="G26" s="27" t="s">
        <v>72</v>
      </c>
      <c r="H26" s="24"/>
      <c r="I26" s="24"/>
      <c r="J26" s="115">
        <v>3.0000000000000001E-3</v>
      </c>
      <c r="K26" s="105"/>
      <c r="L26" s="6" t="s">
        <v>89</v>
      </c>
      <c r="M26" s="6"/>
      <c r="N26" s="6"/>
      <c r="O26" s="208">
        <v>41791</v>
      </c>
      <c r="P26" s="156"/>
      <c r="Q26" s="17" t="s">
        <v>23</v>
      </c>
      <c r="R26" s="6"/>
      <c r="S26" s="6"/>
      <c r="T26" s="137">
        <v>8</v>
      </c>
      <c r="U26" s="102"/>
    </row>
    <row r="27" spans="1:21" x14ac:dyDescent="0.25">
      <c r="A27" s="100"/>
      <c r="B27" s="104"/>
      <c r="C27" s="104"/>
      <c r="D27" s="104"/>
      <c r="E27" s="157"/>
      <c r="F27" s="85"/>
      <c r="G27" s="104"/>
      <c r="H27" s="104"/>
      <c r="I27" s="104"/>
      <c r="J27" s="104"/>
      <c r="K27" s="104"/>
      <c r="L27" s="152" t="s">
        <v>88</v>
      </c>
      <c r="M27" s="154"/>
      <c r="N27" s="155"/>
      <c r="O27" s="218">
        <f>IF(type_subvention_avancee="RU",ru_base+ru_puissance*puissance_installee,0)</f>
        <v>6500</v>
      </c>
      <c r="P27" s="209">
        <f>subvention_init_avancee/cout_total</f>
        <v>0.32500000000000001</v>
      </c>
      <c r="Q27" s="27" t="s">
        <v>115</v>
      </c>
      <c r="R27" s="24"/>
      <c r="S27" s="24"/>
      <c r="T27" s="216">
        <f>IF(O26&gt;DATE(2014,1,1),20,25)</f>
        <v>20</v>
      </c>
      <c r="U27" s="102"/>
    </row>
    <row r="28" spans="1:21" ht="4.5" customHeight="1" thickBot="1" x14ac:dyDescent="0.3">
      <c r="A28" s="219"/>
      <c r="B28" s="220"/>
      <c r="C28" s="220"/>
      <c r="D28" s="220"/>
      <c r="E28" s="221"/>
      <c r="F28" s="220"/>
      <c r="G28" s="220"/>
      <c r="H28" s="220"/>
      <c r="I28" s="220"/>
      <c r="J28" s="222"/>
      <c r="K28" s="223"/>
      <c r="L28" s="223"/>
      <c r="M28" s="223"/>
      <c r="N28" s="223"/>
      <c r="O28" s="223"/>
      <c r="P28" s="220"/>
      <c r="Q28" s="220"/>
      <c r="R28" s="220"/>
      <c r="S28" s="220"/>
      <c r="T28" s="220"/>
      <c r="U28" s="224"/>
    </row>
    <row r="30" spans="1:21" ht="16.5" thickBot="1" x14ac:dyDescent="0.3"/>
    <row r="31" spans="1:21" x14ac:dyDescent="0.25">
      <c r="A31" s="97"/>
      <c r="B31" s="98" t="s">
        <v>61</v>
      </c>
      <c r="C31" s="99"/>
      <c r="D31" s="99"/>
      <c r="E31" s="99"/>
      <c r="F31" s="84"/>
      <c r="G31" s="103" t="s">
        <v>60</v>
      </c>
      <c r="H31" s="99"/>
      <c r="I31" s="99"/>
      <c r="J31" s="99"/>
      <c r="K31" s="99"/>
      <c r="L31" s="98" t="s">
        <v>49</v>
      </c>
      <c r="M31" s="118"/>
      <c r="N31" s="118"/>
      <c r="O31" s="118"/>
      <c r="P31" s="84"/>
      <c r="Q31" s="103" t="s">
        <v>21</v>
      </c>
      <c r="R31" s="99"/>
      <c r="S31" s="99"/>
      <c r="T31" s="99"/>
      <c r="U31" s="101"/>
    </row>
    <row r="32" spans="1:21" x14ac:dyDescent="0.25">
      <c r="A32" s="100"/>
      <c r="B32" s="14" t="s">
        <v>47</v>
      </c>
      <c r="C32" s="15"/>
      <c r="D32" s="15"/>
      <c r="E32" s="94">
        <v>320</v>
      </c>
      <c r="F32" s="85"/>
      <c r="G32" s="14" t="s">
        <v>53</v>
      </c>
      <c r="H32" s="15"/>
      <c r="I32" s="15"/>
      <c r="J32" s="94">
        <v>120000</v>
      </c>
      <c r="K32" s="116"/>
      <c r="L32" s="61" t="s">
        <v>57</v>
      </c>
      <c r="M32" s="61"/>
      <c r="N32" s="61"/>
      <c r="O32" s="136">
        <v>0.15</v>
      </c>
      <c r="P32" s="85"/>
      <c r="Q32" s="126" t="s">
        <v>51</v>
      </c>
      <c r="R32" s="15"/>
      <c r="S32" s="133"/>
      <c r="T32" s="94">
        <v>15000</v>
      </c>
      <c r="U32" s="102"/>
    </row>
    <row r="33" spans="1:21" x14ac:dyDescent="0.25">
      <c r="A33" s="100"/>
      <c r="B33" s="18" t="s">
        <v>39</v>
      </c>
      <c r="C33" s="16"/>
      <c r="D33" s="6"/>
      <c r="E33" s="121" t="s">
        <v>30</v>
      </c>
      <c r="F33" s="85"/>
      <c r="G33" s="18" t="s">
        <v>54</v>
      </c>
      <c r="H33" s="6"/>
      <c r="I33" s="6"/>
      <c r="J33" s="94">
        <v>0</v>
      </c>
      <c r="K33" s="116"/>
      <c r="L33" s="61" t="s">
        <v>18</v>
      </c>
      <c r="M33" s="61"/>
      <c r="N33" s="61"/>
      <c r="O33" s="121" t="s">
        <v>116</v>
      </c>
      <c r="P33" s="85"/>
      <c r="Q33" s="18" t="s">
        <v>5</v>
      </c>
      <c r="R33" s="6"/>
      <c r="S33" s="6"/>
      <c r="T33" s="72">
        <f>1-T32/E39</f>
        <v>0.72727272727272729</v>
      </c>
      <c r="U33" s="102"/>
    </row>
    <row r="34" spans="1:21" x14ac:dyDescent="0.25">
      <c r="A34" s="100"/>
      <c r="B34" s="20" t="s">
        <v>2</v>
      </c>
      <c r="C34" s="21"/>
      <c r="D34" s="6"/>
      <c r="E34" s="94">
        <v>50</v>
      </c>
      <c r="F34" s="85"/>
      <c r="G34" s="18" t="s">
        <v>65</v>
      </c>
      <c r="H34" s="6"/>
      <c r="I34" s="6"/>
      <c r="J34" s="63">
        <f>J32-J33-O41</f>
        <v>113500</v>
      </c>
      <c r="K34" s="117"/>
      <c r="L34" s="19" t="s">
        <v>48</v>
      </c>
      <c r="M34" s="19"/>
      <c r="N34" s="19"/>
      <c r="O34" s="134">
        <v>0.2</v>
      </c>
      <c r="P34" s="85"/>
      <c r="Q34" s="18" t="s">
        <v>28</v>
      </c>
      <c r="R34" s="6"/>
      <c r="S34" s="6"/>
      <c r="T34" s="217">
        <f>rpc_version_avancee</f>
        <v>0.26400000000000001</v>
      </c>
      <c r="U34" s="102"/>
    </row>
    <row r="35" spans="1:21" x14ac:dyDescent="0.25">
      <c r="A35" s="100"/>
      <c r="B35" s="18" t="s">
        <v>26</v>
      </c>
      <c r="C35" s="6"/>
      <c r="D35" s="6"/>
      <c r="E35" s="108">
        <f>E34/E32*1000</f>
        <v>156.25</v>
      </c>
      <c r="F35" s="85"/>
      <c r="G35" s="18" t="s">
        <v>22</v>
      </c>
      <c r="H35" s="6"/>
      <c r="I35" s="19">
        <f>J34*J35</f>
        <v>34050</v>
      </c>
      <c r="J35" s="214">
        <v>0.3</v>
      </c>
      <c r="K35" s="116"/>
      <c r="L35" s="22" t="s">
        <v>59</v>
      </c>
      <c r="M35" s="23"/>
      <c r="N35" s="23"/>
      <c r="O35" s="120">
        <v>10000</v>
      </c>
      <c r="P35" s="85"/>
      <c r="Q35" s="18" t="s">
        <v>90</v>
      </c>
      <c r="R35" s="6"/>
      <c r="S35" s="6"/>
      <c r="T35" s="94">
        <v>0.06</v>
      </c>
      <c r="U35" s="102"/>
    </row>
    <row r="36" spans="1:21" x14ac:dyDescent="0.25">
      <c r="A36" s="100"/>
      <c r="B36" s="18" t="s">
        <v>38</v>
      </c>
      <c r="C36" s="6"/>
      <c r="D36" s="6"/>
      <c r="E36" s="71"/>
      <c r="F36" s="85"/>
      <c r="G36" s="18" t="s">
        <v>9</v>
      </c>
      <c r="H36" s="6"/>
      <c r="I36" s="19">
        <f>J34-I35</f>
        <v>79450</v>
      </c>
      <c r="J36" s="215">
        <f>1-J35</f>
        <v>0.7</v>
      </c>
      <c r="K36" s="105"/>
      <c r="L36" s="151" t="s">
        <v>111</v>
      </c>
      <c r="M36" s="85"/>
      <c r="N36" s="119"/>
      <c r="O36" s="85"/>
      <c r="P36" s="85"/>
      <c r="Q36" s="17" t="s">
        <v>91</v>
      </c>
      <c r="R36" s="6"/>
      <c r="S36" s="6"/>
      <c r="T36" s="94">
        <v>0.18</v>
      </c>
      <c r="U36" s="102"/>
    </row>
    <row r="37" spans="1:21" x14ac:dyDescent="0.25">
      <c r="A37" s="100"/>
      <c r="B37" s="20" t="s">
        <v>3</v>
      </c>
      <c r="C37" s="21"/>
      <c r="D37" s="6"/>
      <c r="E37" s="94">
        <v>1100</v>
      </c>
      <c r="F37" s="85"/>
      <c r="G37" s="17" t="s">
        <v>15</v>
      </c>
      <c r="H37" s="19"/>
      <c r="I37" s="73"/>
      <c r="J37" s="96">
        <v>2.75E-2</v>
      </c>
      <c r="K37" s="105"/>
      <c r="L37" s="6" t="s">
        <v>112</v>
      </c>
      <c r="M37" s="6"/>
      <c r="N37" s="6"/>
      <c r="O37" s="6" t="str">
        <f>mode_subvention_dispo</f>
        <v>RU</v>
      </c>
      <c r="P37" s="85"/>
      <c r="Q37" s="17" t="s">
        <v>73</v>
      </c>
      <c r="R37" s="6"/>
      <c r="S37" s="6"/>
      <c r="T37" s="115">
        <v>2.5000000000000001E-2</v>
      </c>
      <c r="U37" s="102"/>
    </row>
    <row r="38" spans="1:21" x14ac:dyDescent="0.25">
      <c r="A38" s="100"/>
      <c r="B38" s="20" t="s">
        <v>4</v>
      </c>
      <c r="C38" s="21"/>
      <c r="D38" s="6"/>
      <c r="E38" s="95">
        <v>8.0000000000000002E-3</v>
      </c>
      <c r="F38" s="85"/>
      <c r="G38" s="18" t="s">
        <v>55</v>
      </c>
      <c r="H38" s="6"/>
      <c r="I38" s="6"/>
      <c r="J38" s="64">
        <f>J32/E34</f>
        <v>2400</v>
      </c>
      <c r="K38" s="105"/>
      <c r="L38" s="152" t="s">
        <v>113</v>
      </c>
      <c r="M38" s="152"/>
      <c r="N38" s="153"/>
      <c r="O38" s="121" t="s">
        <v>95</v>
      </c>
      <c r="P38" s="85"/>
      <c r="Q38" s="18" t="s">
        <v>74</v>
      </c>
      <c r="R38" s="6"/>
      <c r="S38" s="6"/>
      <c r="T38" s="25">
        <f>T36*(1-(1+T37)^26)/(1-(1+T37))/26</f>
        <v>0.24931182483144282</v>
      </c>
      <c r="U38" s="102"/>
    </row>
    <row r="39" spans="1:21" x14ac:dyDescent="0.25">
      <c r="A39" s="100"/>
      <c r="B39" s="130" t="s">
        <v>52</v>
      </c>
      <c r="C39" s="131"/>
      <c r="D39" s="24"/>
      <c r="E39" s="132">
        <f>E37*E34</f>
        <v>55000</v>
      </c>
      <c r="F39" s="85"/>
      <c r="G39" s="18" t="s">
        <v>56</v>
      </c>
      <c r="H39" s="6"/>
      <c r="I39" s="6"/>
      <c r="J39" s="122">
        <v>25</v>
      </c>
      <c r="K39" s="105"/>
      <c r="L39" s="6" t="s">
        <v>97</v>
      </c>
      <c r="M39" s="6"/>
      <c r="N39" s="6"/>
      <c r="O39" s="94">
        <v>2014</v>
      </c>
      <c r="P39" s="85"/>
      <c r="Q39" s="17" t="s">
        <v>75</v>
      </c>
      <c r="R39" s="6"/>
      <c r="S39" s="6"/>
      <c r="T39" s="28">
        <f>T36*(1+T37)^(25-1)</f>
        <v>0.32557067092486597</v>
      </c>
      <c r="U39" s="102"/>
    </row>
    <row r="40" spans="1:21" x14ac:dyDescent="0.25">
      <c r="A40" s="100"/>
      <c r="B40" s="104"/>
      <c r="C40" s="104"/>
      <c r="D40" s="104"/>
      <c r="E40" s="157"/>
      <c r="F40" s="129"/>
      <c r="G40" s="27" t="s">
        <v>72</v>
      </c>
      <c r="H40" s="24"/>
      <c r="I40" s="24"/>
      <c r="J40" s="115">
        <v>3.0000000000000001E-3</v>
      </c>
      <c r="K40" s="105"/>
      <c r="L40" s="6" t="s">
        <v>89</v>
      </c>
      <c r="M40" s="6"/>
      <c r="N40" s="6"/>
      <c r="O40" s="208">
        <v>41791</v>
      </c>
      <c r="P40" s="156"/>
      <c r="Q40" s="17" t="s">
        <v>23</v>
      </c>
      <c r="R40" s="6"/>
      <c r="S40" s="6"/>
      <c r="T40" s="137">
        <v>6</v>
      </c>
      <c r="U40" s="102"/>
    </row>
    <row r="41" spans="1:21" x14ac:dyDescent="0.25">
      <c r="A41" s="100"/>
      <c r="B41" s="104"/>
      <c r="C41" s="104"/>
      <c r="D41" s="104"/>
      <c r="E41" s="157"/>
      <c r="F41" s="85"/>
      <c r="G41" s="104"/>
      <c r="H41" s="104"/>
      <c r="I41" s="104"/>
      <c r="J41" s="104"/>
      <c r="K41" s="104"/>
      <c r="L41" s="152" t="s">
        <v>88</v>
      </c>
      <c r="M41" s="154"/>
      <c r="N41" s="155"/>
      <c r="O41" s="218">
        <f>IF(type_subvention_avancee="RU",ru_base+ru_puissance*puissance_installee,0)</f>
        <v>6500</v>
      </c>
      <c r="P41" s="209">
        <f>subvention_init_avancee/cout_total</f>
        <v>0.32500000000000001</v>
      </c>
      <c r="Q41" s="27" t="s">
        <v>115</v>
      </c>
      <c r="R41" s="24"/>
      <c r="S41" s="24"/>
      <c r="T41" s="216">
        <f>IF(O40&gt;DATE(2014,1,1),20,25)</f>
        <v>20</v>
      </c>
      <c r="U41" s="102"/>
    </row>
    <row r="42" spans="1:21" ht="6" customHeight="1" thickBot="1" x14ac:dyDescent="0.3">
      <c r="A42" s="219"/>
      <c r="B42" s="220"/>
      <c r="C42" s="220"/>
      <c r="D42" s="220"/>
      <c r="E42" s="221"/>
      <c r="F42" s="220"/>
      <c r="G42" s="220"/>
      <c r="H42" s="220"/>
      <c r="I42" s="220"/>
      <c r="J42" s="222"/>
      <c r="K42" s="223"/>
      <c r="L42" s="223"/>
      <c r="M42" s="223"/>
      <c r="N42" s="223"/>
      <c r="O42" s="223"/>
      <c r="P42" s="220"/>
      <c r="Q42" s="220"/>
      <c r="R42" s="220"/>
      <c r="S42" s="220"/>
      <c r="T42" s="220"/>
      <c r="U42" s="224"/>
    </row>
  </sheetData>
  <phoneticPr fontId="9" type="noConversion"/>
  <conditionalFormatting sqref="I9 H7:H9 J7:J9 H21:H23 J21:J23 H35:H37 J35:J37">
    <cfRule type="expression" dxfId="208" priority="185" stopIfTrue="1">
      <formula>AND(Q70="neg")</formula>
    </cfRule>
  </conditionalFormatting>
  <conditionalFormatting sqref="Q3:T3 Q5:T5 Q7:T12">
    <cfRule type="expression" dxfId="207" priority="186" stopIfTrue="1">
      <formula>AND(V391="neg")</formula>
    </cfRule>
  </conditionalFormatting>
  <conditionalFormatting sqref="M4:O4 M6:O7 M5:N5">
    <cfRule type="expression" dxfId="206" priority="188" stopIfTrue="1">
      <formula>AND(R417="neg")</formula>
    </cfRule>
  </conditionalFormatting>
  <conditionalFormatting sqref="Q6:T6">
    <cfRule type="expression" dxfId="205" priority="189" stopIfTrue="1">
      <formula>AND(V392="neg")</formula>
    </cfRule>
  </conditionalFormatting>
  <conditionalFormatting sqref="Q6:T6">
    <cfRule type="expression" dxfId="204" priority="190" stopIfTrue="1">
      <formula>AND(T50="neg")</formula>
    </cfRule>
  </conditionalFormatting>
  <conditionalFormatting sqref="C6:E6 C11:E11 C25:D25 C39:D39">
    <cfRule type="expression" dxfId="203" priority="191" stopIfTrue="1">
      <formula>AND(R397="neg")</formula>
    </cfRule>
  </conditionalFormatting>
  <conditionalFormatting sqref="G3">
    <cfRule type="expression" dxfId="202" priority="193" stopIfTrue="1">
      <formula>AND(V382="neg")</formula>
    </cfRule>
  </conditionalFormatting>
  <conditionalFormatting sqref="C8:E10">
    <cfRule type="expression" dxfId="201" priority="194" stopIfTrue="1">
      <formula>AND(R398="neg")</formula>
    </cfRule>
  </conditionalFormatting>
  <conditionalFormatting sqref="C8:E10 C23:E24 C37:E38">
    <cfRule type="expression" dxfId="200" priority="195" stopIfTrue="1">
      <formula>AND(Q56="neg")</formula>
    </cfRule>
  </conditionalFormatting>
  <conditionalFormatting sqref="H7:H9 I9 J7:J9 I23 J21:J23 I37 J35:J37">
    <cfRule type="expression" dxfId="199" priority="196" stopIfTrue="1">
      <formula>AND(R412="neg")</formula>
    </cfRule>
  </conditionalFormatting>
  <conditionalFormatting sqref="H4:J4">
    <cfRule type="expression" dxfId="198" priority="197" stopIfTrue="1">
      <formula>AND(R393="neg")</formula>
    </cfRule>
  </conditionalFormatting>
  <conditionalFormatting sqref="F3:F10 K3:K10 C4:E4 F14 K14 K17:K24 C18:E18 F28 K28 K31:K38 C32:E32 F42 K42">
    <cfRule type="expression" dxfId="197" priority="200" stopIfTrue="1">
      <formula>AND(R391="neg")</formula>
    </cfRule>
  </conditionalFormatting>
  <conditionalFormatting sqref="U9:U10 U14">
    <cfRule type="expression" dxfId="196" priority="201" stopIfTrue="1">
      <formula>AND(AG55="neg")</formula>
    </cfRule>
  </conditionalFormatting>
  <conditionalFormatting sqref="H5:J6 H20:I20 H34:I34">
    <cfRule type="expression" dxfId="195" priority="202" stopIfTrue="1">
      <formula>AND(R406="neg")</formula>
    </cfRule>
  </conditionalFormatting>
  <conditionalFormatting sqref="L3">
    <cfRule type="expression" dxfId="194" priority="204" stopIfTrue="1">
      <formula>AND(U60="neg")</formula>
    </cfRule>
  </conditionalFormatting>
  <conditionalFormatting sqref="F3:F10 D4:E4 D18:E18 D32:E32">
    <cfRule type="expression" dxfId="193" priority="205" stopIfTrue="1">
      <formula>AND(Q49="neg")</formula>
    </cfRule>
  </conditionalFormatting>
  <conditionalFormatting sqref="H14:J14">
    <cfRule type="expression" dxfId="192" priority="206" stopIfTrue="1">
      <formula>AND(R410="neg")</formula>
    </cfRule>
  </conditionalFormatting>
  <conditionalFormatting sqref="C5:E5 F11:F13 K11:K13 C7:E7 F25:F27 K25:K27 C21:D21 F39:F41 K39:K41 C35:D35">
    <cfRule type="expression" dxfId="191" priority="208" stopIfTrue="1">
      <formula>AND(R394="neg")</formula>
    </cfRule>
  </conditionalFormatting>
  <conditionalFormatting sqref="F11:F13 C5:E5 K11:K13 C7:E7 C19:E19 K25:K27 C21:D21 C33:E33 K39:K41 C35:D35">
    <cfRule type="expression" dxfId="190" priority="209" stopIfTrue="1">
      <formula>AND(Q52="neg")</formula>
    </cfRule>
  </conditionalFormatting>
  <conditionalFormatting sqref="Q5:T5 Q7:T12">
    <cfRule type="expression" dxfId="189" priority="210" stopIfTrue="1">
      <formula>AND(U51="neg")</formula>
    </cfRule>
  </conditionalFormatting>
  <conditionalFormatting sqref="H10:J10">
    <cfRule type="expression" dxfId="188" priority="211" stopIfTrue="1">
      <formula>AND(R405="neg")</formula>
    </cfRule>
  </conditionalFormatting>
  <conditionalFormatting sqref="P3:P10 P12:P13 P26:P27 P40:P41">
    <cfRule type="expression" dxfId="187" priority="213" stopIfTrue="1">
      <formula>AND(AC391="neg")</formula>
    </cfRule>
  </conditionalFormatting>
  <conditionalFormatting sqref="P14">
    <cfRule type="expression" dxfId="186" priority="214" stopIfTrue="1">
      <formula>AND(AC402="neg")</formula>
    </cfRule>
  </conditionalFormatting>
  <conditionalFormatting sqref="Q3:T3">
    <cfRule type="expression" dxfId="185" priority="215" stopIfTrue="1">
      <formula>AND(T49="neg")</formula>
    </cfRule>
  </conditionalFormatting>
  <conditionalFormatting sqref="K3:K10">
    <cfRule type="expression" dxfId="184" priority="216" stopIfTrue="1">
      <formula>AND(X48="neg")</formula>
    </cfRule>
  </conditionalFormatting>
  <conditionalFormatting sqref="U9:U14 U3">
    <cfRule type="expression" dxfId="183" priority="217" stopIfTrue="1">
      <formula>AND(CJ3="neg")</formula>
    </cfRule>
  </conditionalFormatting>
  <conditionalFormatting sqref="U3 U9:U10 U14">
    <cfRule type="expression" dxfId="182" priority="218" stopIfTrue="1">
      <formula>AND(AH391="neg")</formula>
    </cfRule>
  </conditionalFormatting>
  <conditionalFormatting sqref="U3">
    <cfRule type="expression" dxfId="181" priority="219" stopIfTrue="1">
      <formula>AND(AF49="neg")</formula>
    </cfRule>
  </conditionalFormatting>
  <conditionalFormatting sqref="U11:U13">
    <cfRule type="expression" dxfId="180" priority="220" stopIfTrue="1">
      <formula>AND(AH400="neg")</formula>
    </cfRule>
  </conditionalFormatting>
  <conditionalFormatting sqref="U11:U13">
    <cfRule type="expression" dxfId="179" priority="221" stopIfTrue="1">
      <formula>AND(AG58="neg")</formula>
    </cfRule>
  </conditionalFormatting>
  <conditionalFormatting sqref="B14:E14">
    <cfRule type="expression" dxfId="178" priority="222" stopIfTrue="1">
      <formula>AND(V395="neg")</formula>
    </cfRule>
  </conditionalFormatting>
  <conditionalFormatting sqref="Q4:T4">
    <cfRule type="expression" dxfId="177" priority="223" stopIfTrue="1">
      <formula>AND(V394="neg")</formula>
    </cfRule>
  </conditionalFormatting>
  <conditionalFormatting sqref="B14:D14">
    <cfRule type="expression" dxfId="176" priority="224" stopIfTrue="1">
      <formula>AND(U53="neg")</formula>
    </cfRule>
  </conditionalFormatting>
  <conditionalFormatting sqref="Q4:S4">
    <cfRule type="expression" dxfId="175" priority="225" stopIfTrue="1">
      <formula>AND(U52="neg")</formula>
    </cfRule>
  </conditionalFormatting>
  <conditionalFormatting sqref="P3:P10">
    <cfRule type="expression" dxfId="174" priority="226" stopIfTrue="1">
      <formula>AND(#REF!="neg")</formula>
    </cfRule>
  </conditionalFormatting>
  <conditionalFormatting sqref="P12:P14">
    <cfRule type="expression" dxfId="173" priority="227" stopIfTrue="1">
      <formula>AND(#REF!="neg")</formula>
    </cfRule>
  </conditionalFormatting>
  <conditionalFormatting sqref="I8">
    <cfRule type="expression" dxfId="172" priority="228" stopIfTrue="1">
      <formula>$I$8&lt;0</formula>
    </cfRule>
  </conditionalFormatting>
  <conditionalFormatting sqref="I8">
    <cfRule type="expression" dxfId="171" priority="229" stopIfTrue="1">
      <formula>($I$8&lt;0)</formula>
    </cfRule>
  </conditionalFormatting>
  <conditionalFormatting sqref="P11">
    <cfRule type="expression" dxfId="170" priority="182" stopIfTrue="1">
      <formula>AND(AC399="neg")</formula>
    </cfRule>
  </conditionalFormatting>
  <conditionalFormatting sqref="P11">
    <cfRule type="expression" dxfId="169" priority="183" stopIfTrue="1">
      <formula>AND(#REF!="neg")</formula>
    </cfRule>
  </conditionalFormatting>
  <conditionalFormatting sqref="H11:J12">
    <cfRule type="expression" dxfId="168" priority="230" stopIfTrue="1">
      <formula>AND(R408="neg")</formula>
    </cfRule>
  </conditionalFormatting>
  <conditionalFormatting sqref="F14 B4 K14 B18 K28 B32 K42">
    <cfRule type="expression" dxfId="167" priority="232" stopIfTrue="1">
      <formula>AND(P50="neg")</formula>
    </cfRule>
  </conditionalFormatting>
  <conditionalFormatting sqref="O12">
    <cfRule type="expression" dxfId="166" priority="180" stopIfTrue="1">
      <formula>AND(Y401="neg")</formula>
    </cfRule>
  </conditionalFormatting>
  <conditionalFormatting sqref="O12 H4:J4 H18:J18 H32:J32">
    <cfRule type="expression" dxfId="165" priority="181" stopIfTrue="1">
      <formula>AND(Q51="neg")</formula>
    </cfRule>
  </conditionalFormatting>
  <conditionalFormatting sqref="O11">
    <cfRule type="expression" dxfId="164" priority="178" stopIfTrue="1">
      <formula>AND(AD399="neg")</formula>
    </cfRule>
  </conditionalFormatting>
  <conditionalFormatting sqref="O11">
    <cfRule type="expression" dxfId="163" priority="179" stopIfTrue="1">
      <formula>AND(AB57="neg")</formula>
    </cfRule>
  </conditionalFormatting>
  <conditionalFormatting sqref="I7">
    <cfRule type="expression" dxfId="162" priority="176" stopIfTrue="1">
      <formula>$I$8&lt;0</formula>
    </cfRule>
  </conditionalFormatting>
  <conditionalFormatting sqref="I7">
    <cfRule type="expression" dxfId="161" priority="177" stopIfTrue="1">
      <formula>($I$8&lt;0)</formula>
    </cfRule>
  </conditionalFormatting>
  <conditionalFormatting sqref="Q13:T13">
    <cfRule type="expression" dxfId="160" priority="174" stopIfTrue="1">
      <formula>AND(V401="neg")</formula>
    </cfRule>
  </conditionalFormatting>
  <conditionalFormatting sqref="Q13:T13">
    <cfRule type="expression" dxfId="159" priority="175" stopIfTrue="1">
      <formula>AND(U59="neg")</formula>
    </cfRule>
  </conditionalFormatting>
  <conditionalFormatting sqref="I23">
    <cfRule type="expression" dxfId="158" priority="126" stopIfTrue="1">
      <formula>AND(R86="neg")</formula>
    </cfRule>
  </conditionalFormatting>
  <conditionalFormatting sqref="Q17:T17 Q19:S19 Q21:T23 Q26:T26 Q24:S25">
    <cfRule type="expression" dxfId="157" priority="127" stopIfTrue="1">
      <formula>AND(V405="neg")</formula>
    </cfRule>
  </conditionalFormatting>
  <conditionalFormatting sqref="M18:O18 M20:O21 M19:N19">
    <cfRule type="expression" dxfId="156" priority="129" stopIfTrue="1">
      <formula>AND(R431="neg")</formula>
    </cfRule>
  </conditionalFormatting>
  <conditionalFormatting sqref="Q20:T20">
    <cfRule type="expression" dxfId="155" priority="130" stopIfTrue="1">
      <formula>AND(V406="neg")</formula>
    </cfRule>
  </conditionalFormatting>
  <conditionalFormatting sqref="Q20:T20">
    <cfRule type="expression" dxfId="154" priority="131" stopIfTrue="1">
      <formula>AND(T64="neg")</formula>
    </cfRule>
  </conditionalFormatting>
  <conditionalFormatting sqref="C20:E20">
    <cfRule type="expression" dxfId="153" priority="132" stopIfTrue="1">
      <formula>AND(R411="neg")</formula>
    </cfRule>
  </conditionalFormatting>
  <conditionalFormatting sqref="G17">
    <cfRule type="expression" dxfId="152" priority="134" stopIfTrue="1">
      <formula>AND(V396="neg")</formula>
    </cfRule>
  </conditionalFormatting>
  <conditionalFormatting sqref="C22:E24">
    <cfRule type="expression" dxfId="151" priority="135" stopIfTrue="1">
      <formula>AND(R412="neg")</formula>
    </cfRule>
  </conditionalFormatting>
  <conditionalFormatting sqref="C22:E22">
    <cfRule type="expression" dxfId="150" priority="136" stopIfTrue="1">
      <formula>AND(Q70="neg")</formula>
    </cfRule>
  </conditionalFormatting>
  <conditionalFormatting sqref="H21:H23">
    <cfRule type="expression" dxfId="149" priority="137" stopIfTrue="1">
      <formula>AND(R426="neg")</formula>
    </cfRule>
  </conditionalFormatting>
  <conditionalFormatting sqref="H18:J18">
    <cfRule type="expression" dxfId="148" priority="138" stopIfTrue="1">
      <formula>AND(R407="neg")</formula>
    </cfRule>
  </conditionalFormatting>
  <conditionalFormatting sqref="F17:F24">
    <cfRule type="expression" dxfId="147" priority="141" stopIfTrue="1">
      <formula>AND(U405="neg")</formula>
    </cfRule>
  </conditionalFormatting>
  <conditionalFormatting sqref="U23:U24 U28">
    <cfRule type="expression" dxfId="146" priority="142" stopIfTrue="1">
      <formula>AND(AG69="neg")</formula>
    </cfRule>
  </conditionalFormatting>
  <conditionalFormatting sqref="H19:J19">
    <cfRule type="expression" dxfId="145" priority="143" stopIfTrue="1">
      <formula>AND(R420="neg")</formula>
    </cfRule>
  </conditionalFormatting>
  <conditionalFormatting sqref="L17">
    <cfRule type="expression" dxfId="144" priority="145" stopIfTrue="1">
      <formula>AND(U74="neg")</formula>
    </cfRule>
  </conditionalFormatting>
  <conditionalFormatting sqref="F17:F24">
    <cfRule type="expression" dxfId="143" priority="146" stopIfTrue="1">
      <formula>AND(S63="neg")</formula>
    </cfRule>
  </conditionalFormatting>
  <conditionalFormatting sqref="H28:J28">
    <cfRule type="expression" dxfId="142" priority="147" stopIfTrue="1">
      <formula>AND(R424="neg")</formula>
    </cfRule>
  </conditionalFormatting>
  <conditionalFormatting sqref="C19:E19">
    <cfRule type="expression" dxfId="141" priority="149" stopIfTrue="1">
      <formula>AND(R408="neg")</formula>
    </cfRule>
  </conditionalFormatting>
  <conditionalFormatting sqref="F25:F27">
    <cfRule type="expression" dxfId="140" priority="150" stopIfTrue="1">
      <formula>AND(T72="neg")</formula>
    </cfRule>
  </conditionalFormatting>
  <conditionalFormatting sqref="Q19:S19 Q21:T23 Q26:T26 Q24:S25">
    <cfRule type="expression" dxfId="139" priority="151" stopIfTrue="1">
      <formula>AND(U65="neg")</formula>
    </cfRule>
  </conditionalFormatting>
  <conditionalFormatting sqref="H24:I24">
    <cfRule type="expression" dxfId="138" priority="152" stopIfTrue="1">
      <formula>AND(R419="neg")</formula>
    </cfRule>
  </conditionalFormatting>
  <conditionalFormatting sqref="P17:P24">
    <cfRule type="expression" dxfId="137" priority="154" stopIfTrue="1">
      <formula>AND(AC405="neg")</formula>
    </cfRule>
  </conditionalFormatting>
  <conditionalFormatting sqref="P28">
    <cfRule type="expression" dxfId="136" priority="155" stopIfTrue="1">
      <formula>AND(AC416="neg")</formula>
    </cfRule>
  </conditionalFormatting>
  <conditionalFormatting sqref="Q17:T17">
    <cfRule type="expression" dxfId="135" priority="156" stopIfTrue="1">
      <formula>AND(T63="neg")</formula>
    </cfRule>
  </conditionalFormatting>
  <conditionalFormatting sqref="K17:K24">
    <cfRule type="expression" dxfId="134" priority="157" stopIfTrue="1">
      <formula>AND(X62="neg")</formula>
    </cfRule>
  </conditionalFormatting>
  <conditionalFormatting sqref="U23:U28 U17">
    <cfRule type="expression" dxfId="133" priority="158" stopIfTrue="1">
      <formula>AND(CJ17="neg")</formula>
    </cfRule>
  </conditionalFormatting>
  <conditionalFormatting sqref="U17 U23:U24 U28">
    <cfRule type="expression" dxfId="132" priority="159" stopIfTrue="1">
      <formula>AND(AH405="neg")</formula>
    </cfRule>
  </conditionalFormatting>
  <conditionalFormatting sqref="U17">
    <cfRule type="expression" dxfId="131" priority="160" stopIfTrue="1">
      <formula>AND(AF63="neg")</formula>
    </cfRule>
  </conditionalFormatting>
  <conditionalFormatting sqref="U25:U27">
    <cfRule type="expression" dxfId="130" priority="161" stopIfTrue="1">
      <formula>AND(AH414="neg")</formula>
    </cfRule>
  </conditionalFormatting>
  <conditionalFormatting sqref="U25:U27">
    <cfRule type="expression" dxfId="129" priority="162" stopIfTrue="1">
      <formula>AND(AG72="neg")</formula>
    </cfRule>
  </conditionalFormatting>
  <conditionalFormatting sqref="B28:E28">
    <cfRule type="expression" dxfId="128" priority="163" stopIfTrue="1">
      <formula>AND(V409="neg")</formula>
    </cfRule>
  </conditionalFormatting>
  <conditionalFormatting sqref="Q18:T18">
    <cfRule type="expression" dxfId="127" priority="164" stopIfTrue="1">
      <formula>AND(V408="neg")</formula>
    </cfRule>
  </conditionalFormatting>
  <conditionalFormatting sqref="B28:D28">
    <cfRule type="expression" dxfId="126" priority="165" stopIfTrue="1">
      <formula>AND(U67="neg")</formula>
    </cfRule>
  </conditionalFormatting>
  <conditionalFormatting sqref="Q18:S18">
    <cfRule type="expression" dxfId="125" priority="166" stopIfTrue="1">
      <formula>AND(U66="neg")</formula>
    </cfRule>
  </conditionalFormatting>
  <conditionalFormatting sqref="P17:P24">
    <cfRule type="expression" dxfId="124" priority="167" stopIfTrue="1">
      <formula>AND(#REF!="neg")</formula>
    </cfRule>
  </conditionalFormatting>
  <conditionalFormatting sqref="P26:P28">
    <cfRule type="expression" dxfId="123" priority="168" stopIfTrue="1">
      <formula>AND(#REF!="neg")</formula>
    </cfRule>
  </conditionalFormatting>
  <conditionalFormatting sqref="P25">
    <cfRule type="expression" dxfId="122" priority="123" stopIfTrue="1">
      <formula>AND(AC413="neg")</formula>
    </cfRule>
  </conditionalFormatting>
  <conditionalFormatting sqref="P25">
    <cfRule type="expression" dxfId="121" priority="124" stopIfTrue="1">
      <formula>AND(#REF!="neg")</formula>
    </cfRule>
  </conditionalFormatting>
  <conditionalFormatting sqref="H25:J26">
    <cfRule type="expression" dxfId="120" priority="171" stopIfTrue="1">
      <formula>AND(R422="neg")</formula>
    </cfRule>
  </conditionalFormatting>
  <conditionalFormatting sqref="F28">
    <cfRule type="expression" dxfId="119" priority="173" stopIfTrue="1">
      <formula>AND(T74="neg")</formula>
    </cfRule>
  </conditionalFormatting>
  <conditionalFormatting sqref="O26">
    <cfRule type="expression" dxfId="118" priority="121" stopIfTrue="1">
      <formula>AND(Y415="neg")</formula>
    </cfRule>
  </conditionalFormatting>
  <conditionalFormatting sqref="O26">
    <cfRule type="expression" dxfId="117" priority="122" stopIfTrue="1">
      <formula>AND(X73="neg")</formula>
    </cfRule>
  </conditionalFormatting>
  <conditionalFormatting sqref="O25">
    <cfRule type="expression" dxfId="116" priority="119" stopIfTrue="1">
      <formula>AND(AD413="neg")</formula>
    </cfRule>
  </conditionalFormatting>
  <conditionalFormatting sqref="O25">
    <cfRule type="expression" dxfId="115" priority="120" stopIfTrue="1">
      <formula>AND(AB71="neg")</formula>
    </cfRule>
  </conditionalFormatting>
  <conditionalFormatting sqref="Q27:S27">
    <cfRule type="expression" dxfId="114" priority="115" stopIfTrue="1">
      <formula>AND(V415="neg")</formula>
    </cfRule>
  </conditionalFormatting>
  <conditionalFormatting sqref="Q27:S27">
    <cfRule type="expression" dxfId="113" priority="116" stopIfTrue="1">
      <formula>AND(U73="neg")</formula>
    </cfRule>
  </conditionalFormatting>
  <conditionalFormatting sqref="I37">
    <cfRule type="expression" dxfId="112" priority="67" stopIfTrue="1">
      <formula>AND(R100="neg")</formula>
    </cfRule>
  </conditionalFormatting>
  <conditionalFormatting sqref="Q31:T31 Q33:S33 Q35:T37 Q40:T40 Q38:S39">
    <cfRule type="expression" dxfId="111" priority="68" stopIfTrue="1">
      <formula>AND(V419="neg")</formula>
    </cfRule>
  </conditionalFormatting>
  <conditionalFormatting sqref="M32:O32 M34:O35 M33:N33">
    <cfRule type="expression" dxfId="110" priority="70" stopIfTrue="1">
      <formula>AND(R445="neg")</formula>
    </cfRule>
  </conditionalFormatting>
  <conditionalFormatting sqref="Q34:T34">
    <cfRule type="expression" dxfId="109" priority="71" stopIfTrue="1">
      <formula>AND(V420="neg")</formula>
    </cfRule>
  </conditionalFormatting>
  <conditionalFormatting sqref="Q34:T34">
    <cfRule type="expression" dxfId="108" priority="72" stopIfTrue="1">
      <formula>AND(T78="neg")</formula>
    </cfRule>
  </conditionalFormatting>
  <conditionalFormatting sqref="C34:E34">
    <cfRule type="expression" dxfId="107" priority="73" stopIfTrue="1">
      <formula>AND(R425="neg")</formula>
    </cfRule>
  </conditionalFormatting>
  <conditionalFormatting sqref="G31">
    <cfRule type="expression" dxfId="106" priority="75" stopIfTrue="1">
      <formula>AND(V410="neg")</formula>
    </cfRule>
  </conditionalFormatting>
  <conditionalFormatting sqref="C36:E38">
    <cfRule type="expression" dxfId="105" priority="76" stopIfTrue="1">
      <formula>AND(R426="neg")</formula>
    </cfRule>
  </conditionalFormatting>
  <conditionalFormatting sqref="C36:E36">
    <cfRule type="expression" dxfId="104" priority="77" stopIfTrue="1">
      <formula>AND(Q84="neg")</formula>
    </cfRule>
  </conditionalFormatting>
  <conditionalFormatting sqref="H35:H37">
    <cfRule type="expression" dxfId="103" priority="78" stopIfTrue="1">
      <formula>AND(R440="neg")</formula>
    </cfRule>
  </conditionalFormatting>
  <conditionalFormatting sqref="H32:J32">
    <cfRule type="expression" dxfId="102" priority="79" stopIfTrue="1">
      <formula>AND(R421="neg")</formula>
    </cfRule>
  </conditionalFormatting>
  <conditionalFormatting sqref="F31:F38">
    <cfRule type="expression" dxfId="101" priority="82" stopIfTrue="1">
      <formula>AND(U419="neg")</formula>
    </cfRule>
  </conditionalFormatting>
  <conditionalFormatting sqref="U37:U38 U42">
    <cfRule type="expression" dxfId="100" priority="83" stopIfTrue="1">
      <formula>AND(AG83="neg")</formula>
    </cfRule>
  </conditionalFormatting>
  <conditionalFormatting sqref="H33:J33">
    <cfRule type="expression" dxfId="99" priority="84" stopIfTrue="1">
      <formula>AND(R434="neg")</formula>
    </cfRule>
  </conditionalFormatting>
  <conditionalFormatting sqref="L31">
    <cfRule type="expression" dxfId="98" priority="86" stopIfTrue="1">
      <formula>AND(U88="neg")</formula>
    </cfRule>
  </conditionalFormatting>
  <conditionalFormatting sqref="F31:F38">
    <cfRule type="expression" dxfId="97" priority="87" stopIfTrue="1">
      <formula>AND(S77="neg")</formula>
    </cfRule>
  </conditionalFormatting>
  <conditionalFormatting sqref="H42:J42">
    <cfRule type="expression" dxfId="96" priority="88" stopIfTrue="1">
      <formula>AND(R438="neg")</formula>
    </cfRule>
  </conditionalFormatting>
  <conditionalFormatting sqref="C33:E33">
    <cfRule type="expression" dxfId="95" priority="90" stopIfTrue="1">
      <formula>AND(R422="neg")</formula>
    </cfRule>
  </conditionalFormatting>
  <conditionalFormatting sqref="F39:F41">
    <cfRule type="expression" dxfId="94" priority="91" stopIfTrue="1">
      <formula>AND(T86="neg")</formula>
    </cfRule>
  </conditionalFormatting>
  <conditionalFormatting sqref="Q33:S33 Q35:T37 Q40:T40 Q38:S39">
    <cfRule type="expression" dxfId="93" priority="92" stopIfTrue="1">
      <formula>AND(U79="neg")</formula>
    </cfRule>
  </conditionalFormatting>
  <conditionalFormatting sqref="H38:I38">
    <cfRule type="expression" dxfId="92" priority="93" stopIfTrue="1">
      <formula>AND(R433="neg")</formula>
    </cfRule>
  </conditionalFormatting>
  <conditionalFormatting sqref="P31:P38">
    <cfRule type="expression" dxfId="91" priority="95" stopIfTrue="1">
      <formula>AND(AC419="neg")</formula>
    </cfRule>
  </conditionalFormatting>
  <conditionalFormatting sqref="P42">
    <cfRule type="expression" dxfId="90" priority="96" stopIfTrue="1">
      <formula>AND(AC430="neg")</formula>
    </cfRule>
  </conditionalFormatting>
  <conditionalFormatting sqref="Q31:T31">
    <cfRule type="expression" dxfId="89" priority="97" stopIfTrue="1">
      <formula>AND(T77="neg")</formula>
    </cfRule>
  </conditionalFormatting>
  <conditionalFormatting sqref="K31:K38">
    <cfRule type="expression" dxfId="88" priority="98" stopIfTrue="1">
      <formula>AND(X76="neg")</formula>
    </cfRule>
  </conditionalFormatting>
  <conditionalFormatting sqref="U37:U42 U31">
    <cfRule type="expression" dxfId="87" priority="99" stopIfTrue="1">
      <formula>AND(CJ31="neg")</formula>
    </cfRule>
  </conditionalFormatting>
  <conditionalFormatting sqref="U31 U37:U38 U42">
    <cfRule type="expression" dxfId="86" priority="100" stopIfTrue="1">
      <formula>AND(AH419="neg")</formula>
    </cfRule>
  </conditionalFormatting>
  <conditionalFormatting sqref="U31">
    <cfRule type="expression" dxfId="85" priority="101" stopIfTrue="1">
      <formula>AND(AF77="neg")</formula>
    </cfRule>
  </conditionalFormatting>
  <conditionalFormatting sqref="U39:U41">
    <cfRule type="expression" dxfId="84" priority="102" stopIfTrue="1">
      <formula>AND(AH428="neg")</formula>
    </cfRule>
  </conditionalFormatting>
  <conditionalFormatting sqref="U39:U41">
    <cfRule type="expression" dxfId="83" priority="103" stopIfTrue="1">
      <formula>AND(AG86="neg")</formula>
    </cfRule>
  </conditionalFormatting>
  <conditionalFormatting sqref="B42:E42">
    <cfRule type="expression" dxfId="82" priority="104" stopIfTrue="1">
      <formula>AND(V423="neg")</formula>
    </cfRule>
  </conditionalFormatting>
  <conditionalFormatting sqref="Q32:T32">
    <cfRule type="expression" dxfId="81" priority="105" stopIfTrue="1">
      <formula>AND(V422="neg")</formula>
    </cfRule>
  </conditionalFormatting>
  <conditionalFormatting sqref="B42:D42">
    <cfRule type="expression" dxfId="80" priority="106" stopIfTrue="1">
      <formula>AND(U81="neg")</formula>
    </cfRule>
  </conditionalFormatting>
  <conditionalFormatting sqref="Q32:S32">
    <cfRule type="expression" dxfId="79" priority="107" stopIfTrue="1">
      <formula>AND(U80="neg")</formula>
    </cfRule>
  </conditionalFormatting>
  <conditionalFormatting sqref="P31:P38">
    <cfRule type="expression" dxfId="78" priority="108" stopIfTrue="1">
      <formula>AND(#REF!="neg")</formula>
    </cfRule>
  </conditionalFormatting>
  <conditionalFormatting sqref="P40:P42">
    <cfRule type="expression" dxfId="77" priority="109" stopIfTrue="1">
      <formula>AND(#REF!="neg")</formula>
    </cfRule>
  </conditionalFormatting>
  <conditionalFormatting sqref="P39">
    <cfRule type="expression" dxfId="76" priority="64" stopIfTrue="1">
      <formula>AND(AC427="neg")</formula>
    </cfRule>
  </conditionalFormatting>
  <conditionalFormatting sqref="P39">
    <cfRule type="expression" dxfId="75" priority="65" stopIfTrue="1">
      <formula>AND(#REF!="neg")</formula>
    </cfRule>
  </conditionalFormatting>
  <conditionalFormatting sqref="H39:J40">
    <cfRule type="expression" dxfId="74" priority="112" stopIfTrue="1">
      <formula>AND(R436="neg")</formula>
    </cfRule>
  </conditionalFormatting>
  <conditionalFormatting sqref="F42">
    <cfRule type="expression" dxfId="73" priority="114" stopIfTrue="1">
      <formula>AND(T88="neg")</formula>
    </cfRule>
  </conditionalFormatting>
  <conditionalFormatting sqref="O40">
    <cfRule type="expression" dxfId="72" priority="62" stopIfTrue="1">
      <formula>AND(Y429="neg")</formula>
    </cfRule>
  </conditionalFormatting>
  <conditionalFormatting sqref="O40">
    <cfRule type="expression" dxfId="71" priority="63" stopIfTrue="1">
      <formula>AND(X87="neg")</formula>
    </cfRule>
  </conditionalFormatting>
  <conditionalFormatting sqref="O39">
    <cfRule type="expression" dxfId="70" priority="60" stopIfTrue="1">
      <formula>AND(AD427="neg")</formula>
    </cfRule>
  </conditionalFormatting>
  <conditionalFormatting sqref="O39">
    <cfRule type="expression" dxfId="69" priority="61" stopIfTrue="1">
      <formula>AND(AB85="neg")</formula>
    </cfRule>
  </conditionalFormatting>
  <conditionalFormatting sqref="Q41:S41">
    <cfRule type="expression" dxfId="68" priority="56" stopIfTrue="1">
      <formula>AND(V429="neg")</formula>
    </cfRule>
  </conditionalFormatting>
  <conditionalFormatting sqref="Q41:S41">
    <cfRule type="expression" dxfId="67" priority="57" stopIfTrue="1">
      <formula>AND(U87="neg")</formula>
    </cfRule>
  </conditionalFormatting>
  <conditionalFormatting sqref="E25">
    <cfRule type="expression" dxfId="66" priority="54" stopIfTrue="1">
      <formula>AND(T416="neg")</formula>
    </cfRule>
  </conditionalFormatting>
  <conditionalFormatting sqref="C6:D6 C11:E11 C20:D20 C25:E25 C34:D34 C39:D39">
    <cfRule type="expression" dxfId="65" priority="55" stopIfTrue="1">
      <formula>AND(Q55="neg")</formula>
    </cfRule>
  </conditionalFormatting>
  <conditionalFormatting sqref="E21">
    <cfRule type="expression" dxfId="64" priority="52" stopIfTrue="1">
      <formula>AND(T410="neg")</formula>
    </cfRule>
  </conditionalFormatting>
  <conditionalFormatting sqref="E21">
    <cfRule type="expression" dxfId="63" priority="53" stopIfTrue="1">
      <formula>AND(S68="neg")</formula>
    </cfRule>
  </conditionalFormatting>
  <conditionalFormatting sqref="J20">
    <cfRule type="expression" dxfId="62" priority="50" stopIfTrue="1">
      <formula>AND(T421="neg")</formula>
    </cfRule>
  </conditionalFormatting>
  <conditionalFormatting sqref="H5:J6 H19:J20 H33:J33 H34:I34">
    <cfRule type="expression" dxfId="61" priority="51" stopIfTrue="1">
      <formula>AND(Q64="neg")</formula>
    </cfRule>
  </conditionalFormatting>
  <conditionalFormatting sqref="I21">
    <cfRule type="expression" dxfId="60" priority="48" stopIfTrue="1">
      <formula>$I$8&lt;0</formula>
    </cfRule>
  </conditionalFormatting>
  <conditionalFormatting sqref="I21">
    <cfRule type="expression" dxfId="59" priority="49" stopIfTrue="1">
      <formula>($I$8&lt;0)</formula>
    </cfRule>
  </conditionalFormatting>
  <conditionalFormatting sqref="I22">
    <cfRule type="expression" dxfId="58" priority="46" stopIfTrue="1">
      <formula>$I$8&lt;0</formula>
    </cfRule>
  </conditionalFormatting>
  <conditionalFormatting sqref="I22">
    <cfRule type="expression" dxfId="57" priority="47" stopIfTrue="1">
      <formula>($I$8&lt;0)</formula>
    </cfRule>
  </conditionalFormatting>
  <conditionalFormatting sqref="J24">
    <cfRule type="expression" dxfId="56" priority="44" stopIfTrue="1">
      <formula>AND(T419="neg")</formula>
    </cfRule>
  </conditionalFormatting>
  <conditionalFormatting sqref="H10:J10 H24:J24 H38:I38">
    <cfRule type="expression" dxfId="55" priority="45" stopIfTrue="1">
      <formula>AND(Q63="neg")</formula>
    </cfRule>
  </conditionalFormatting>
  <conditionalFormatting sqref="T24">
    <cfRule type="expression" dxfId="54" priority="42" stopIfTrue="1">
      <formula>AND(Y412="neg")</formula>
    </cfRule>
  </conditionalFormatting>
  <conditionalFormatting sqref="T24">
    <cfRule type="expression" dxfId="53" priority="43" stopIfTrue="1">
      <formula>AND(X70="neg")</formula>
    </cfRule>
  </conditionalFormatting>
  <conditionalFormatting sqref="T38">
    <cfRule type="expression" dxfId="52" priority="40" stopIfTrue="1">
      <formula>AND(Y426="neg")</formula>
    </cfRule>
  </conditionalFormatting>
  <conditionalFormatting sqref="T38">
    <cfRule type="expression" dxfId="51" priority="41" stopIfTrue="1">
      <formula>AND(X84="neg")</formula>
    </cfRule>
  </conditionalFormatting>
  <conditionalFormatting sqref="T25">
    <cfRule type="expression" dxfId="50" priority="38" stopIfTrue="1">
      <formula>AND(Y413="neg")</formula>
    </cfRule>
  </conditionalFormatting>
  <conditionalFormatting sqref="T25">
    <cfRule type="expression" dxfId="49" priority="39" stopIfTrue="1">
      <formula>AND(X71="neg")</formula>
    </cfRule>
  </conditionalFormatting>
  <conditionalFormatting sqref="T39">
    <cfRule type="expression" dxfId="48" priority="36" stopIfTrue="1">
      <formula>AND(Y427="neg")</formula>
    </cfRule>
  </conditionalFormatting>
  <conditionalFormatting sqref="T39">
    <cfRule type="expression" dxfId="47" priority="37" stopIfTrue="1">
      <formula>AND(X85="neg")</formula>
    </cfRule>
  </conditionalFormatting>
  <conditionalFormatting sqref="T27">
    <cfRule type="expression" dxfId="46" priority="34" stopIfTrue="1">
      <formula>AND(Y415="neg")</formula>
    </cfRule>
  </conditionalFormatting>
  <conditionalFormatting sqref="T27">
    <cfRule type="expression" dxfId="45" priority="35" stopIfTrue="1">
      <formula>AND(X73="neg")</formula>
    </cfRule>
  </conditionalFormatting>
  <conditionalFormatting sqref="T41">
    <cfRule type="expression" dxfId="44" priority="32" stopIfTrue="1">
      <formula>AND(Y429="neg")</formula>
    </cfRule>
  </conditionalFormatting>
  <conditionalFormatting sqref="T41">
    <cfRule type="expression" dxfId="43" priority="33" stopIfTrue="1">
      <formula>AND(X87="neg")</formula>
    </cfRule>
  </conditionalFormatting>
  <conditionalFormatting sqref="T19">
    <cfRule type="expression" dxfId="42" priority="30" stopIfTrue="1">
      <formula>AND(Y407="neg")</formula>
    </cfRule>
  </conditionalFormatting>
  <conditionalFormatting sqref="T19">
    <cfRule type="expression" dxfId="41" priority="31" stopIfTrue="1">
      <formula>AND(X65="neg")</formula>
    </cfRule>
  </conditionalFormatting>
  <conditionalFormatting sqref="T33">
    <cfRule type="expression" dxfId="40" priority="28" stopIfTrue="1">
      <formula>AND(Y421="neg")</formula>
    </cfRule>
  </conditionalFormatting>
  <conditionalFormatting sqref="T33">
    <cfRule type="expression" dxfId="39" priority="29" stopIfTrue="1">
      <formula>AND(X79="neg")</formula>
    </cfRule>
  </conditionalFormatting>
  <conditionalFormatting sqref="E35">
    <cfRule type="expression" dxfId="38" priority="26" stopIfTrue="1">
      <formula>AND(T424="neg")</formula>
    </cfRule>
  </conditionalFormatting>
  <conditionalFormatting sqref="E35">
    <cfRule type="expression" dxfId="37" priority="27" stopIfTrue="1">
      <formula>AND(S82="neg")</formula>
    </cfRule>
  </conditionalFormatting>
  <conditionalFormatting sqref="E39">
    <cfRule type="expression" dxfId="36" priority="24" stopIfTrue="1">
      <formula>AND(T430="neg")</formula>
    </cfRule>
  </conditionalFormatting>
  <conditionalFormatting sqref="E39">
    <cfRule type="expression" dxfId="35" priority="25" stopIfTrue="1">
      <formula>AND(S88="neg")</formula>
    </cfRule>
  </conditionalFormatting>
  <conditionalFormatting sqref="I35">
    <cfRule type="expression" dxfId="34" priority="22" stopIfTrue="1">
      <formula>$I$8&lt;0</formula>
    </cfRule>
  </conditionalFormatting>
  <conditionalFormatting sqref="I35">
    <cfRule type="expression" dxfId="33" priority="23" stopIfTrue="1">
      <formula>($I$8&lt;0)</formula>
    </cfRule>
  </conditionalFormatting>
  <conditionalFormatting sqref="I36">
    <cfRule type="expression" dxfId="32" priority="20" stopIfTrue="1">
      <formula>$I$8&lt;0</formula>
    </cfRule>
  </conditionalFormatting>
  <conditionalFormatting sqref="I36">
    <cfRule type="expression" dxfId="31" priority="21" stopIfTrue="1">
      <formula>($I$8&lt;0)</formula>
    </cfRule>
  </conditionalFormatting>
  <conditionalFormatting sqref="J34">
    <cfRule type="expression" dxfId="30" priority="18" stopIfTrue="1">
      <formula>AND(T435="neg")</formula>
    </cfRule>
  </conditionalFormatting>
  <conditionalFormatting sqref="J34">
    <cfRule type="expression" dxfId="29" priority="19" stopIfTrue="1">
      <formula>AND(S93="neg")</formula>
    </cfRule>
  </conditionalFormatting>
  <conditionalFormatting sqref="J38">
    <cfRule type="expression" dxfId="28" priority="16" stopIfTrue="1">
      <formula>AND(T433="neg")</formula>
    </cfRule>
  </conditionalFormatting>
  <conditionalFormatting sqref="J38">
    <cfRule type="expression" dxfId="27" priority="17" stopIfTrue="1">
      <formula>AND(S91="neg")</formula>
    </cfRule>
  </conditionalFormatting>
  <conditionalFormatting sqref="O10">
    <cfRule type="expression" dxfId="26" priority="14" stopIfTrue="1">
      <formula>AND(AD399="neg")</formula>
    </cfRule>
  </conditionalFormatting>
  <conditionalFormatting sqref="O10">
    <cfRule type="expression" dxfId="25" priority="15" stopIfTrue="1">
      <formula>AND(AC57="neg")</formula>
    </cfRule>
  </conditionalFormatting>
  <conditionalFormatting sqref="O24">
    <cfRule type="expression" dxfId="24" priority="12" stopIfTrue="1">
      <formula>AND(AD413="neg")</formula>
    </cfRule>
  </conditionalFormatting>
  <conditionalFormatting sqref="O24">
    <cfRule type="expression" dxfId="23" priority="13" stopIfTrue="1">
      <formula>AND(AC71="neg")</formula>
    </cfRule>
  </conditionalFormatting>
  <conditionalFormatting sqref="O38">
    <cfRule type="expression" dxfId="22" priority="10" stopIfTrue="1">
      <formula>AND(AD427="neg")</formula>
    </cfRule>
  </conditionalFormatting>
  <conditionalFormatting sqref="O38">
    <cfRule type="expression" dxfId="21" priority="11" stopIfTrue="1">
      <formula>AND(AC85="neg")</formula>
    </cfRule>
  </conditionalFormatting>
  <conditionalFormatting sqref="G7:G9 G21:G23 G35:G37">
    <cfRule type="expression" dxfId="20" priority="233" stopIfTrue="1">
      <formula>AND(#REF!="neg")</formula>
    </cfRule>
  </conditionalFormatting>
  <conditionalFormatting sqref="L4:L7 L18:L21 L32:L35">
    <cfRule type="expression" dxfId="19" priority="236" stopIfTrue="1">
      <formula>AND(#REF!="neg")</formula>
    </cfRule>
  </conditionalFormatting>
  <conditionalFormatting sqref="M4:O4 M18:O18 M32:O32 M6:O7 M5:N5 M20:O21 M19:N19 M34:O35 M33:N33">
    <cfRule type="expression" dxfId="18" priority="237" stopIfTrue="1">
      <formula>AND(Q75="neg")</formula>
    </cfRule>
  </conditionalFormatting>
  <conditionalFormatting sqref="B6 B11 B20 B25 B34 B39">
    <cfRule type="expression" dxfId="17" priority="239" stopIfTrue="1">
      <formula>AND(#REF!="neg")</formula>
    </cfRule>
  </conditionalFormatting>
  <conditionalFormatting sqref="B8:B10 B22:B24 B36:B38">
    <cfRule type="expression" dxfId="16" priority="243" stopIfTrue="1">
      <formula>AND(#REF!="neg")</formula>
    </cfRule>
  </conditionalFormatting>
  <conditionalFormatting sqref="G4 G18 G32">
    <cfRule type="expression" dxfId="15" priority="247" stopIfTrue="1">
      <formula>AND(#REF!="neg")</formula>
    </cfRule>
  </conditionalFormatting>
  <conditionalFormatting sqref="B3 B17 B31">
    <cfRule type="expression" dxfId="14" priority="249" stopIfTrue="1">
      <formula>AND(#REF!="neg")</formula>
    </cfRule>
  </conditionalFormatting>
  <conditionalFormatting sqref="G5:G6 G19:G20 G33:G34">
    <cfRule type="expression" dxfId="13" priority="254" stopIfTrue="1">
      <formula>AND(#REF!="neg")</formula>
    </cfRule>
  </conditionalFormatting>
  <conditionalFormatting sqref="C4 C18 C32">
    <cfRule type="expression" dxfId="12" priority="258" stopIfTrue="1">
      <formula>AND(#REF!="neg")</formula>
    </cfRule>
  </conditionalFormatting>
  <conditionalFormatting sqref="G14 G28 G42">
    <cfRule type="expression" dxfId="11" priority="259" stopIfTrue="1">
      <formula>AND(#REF!="neg")</formula>
    </cfRule>
  </conditionalFormatting>
  <conditionalFormatting sqref="H14:J14 H28:J28 H42:J42">
    <cfRule type="expression" dxfId="10" priority="260" stopIfTrue="1">
      <formula>AND(Q68="neg")</formula>
    </cfRule>
  </conditionalFormatting>
  <conditionalFormatting sqref="B5 B7 B19 B21 B33 B35">
    <cfRule type="expression" dxfId="9" priority="264" stopIfTrue="1">
      <formula>AND(#REF!="neg")</formula>
    </cfRule>
  </conditionalFormatting>
  <conditionalFormatting sqref="G10 G24 G38">
    <cfRule type="expression" dxfId="8" priority="269" stopIfTrue="1">
      <formula>AND(#REF!="neg")</formula>
    </cfRule>
  </conditionalFormatting>
  <conditionalFormatting sqref="G11:G12 G25:G26 G39:G40">
    <cfRule type="expression" dxfId="7" priority="272" stopIfTrue="1">
      <formula>AND(#REF!="neg")</formula>
    </cfRule>
  </conditionalFormatting>
  <conditionalFormatting sqref="H11:J12 H25:J26 H39:J40">
    <cfRule type="expression" dxfId="6" priority="273" stopIfTrue="1">
      <formula>AND(Q66="neg")</formula>
    </cfRule>
  </conditionalFormatting>
  <conditionalFormatting sqref="O5">
    <cfRule type="expression" dxfId="5" priority="5" stopIfTrue="1">
      <formula>AND(AD394="neg")</formula>
    </cfRule>
  </conditionalFormatting>
  <conditionalFormatting sqref="O5">
    <cfRule type="expression" dxfId="4" priority="6" stopIfTrue="1">
      <formula>AND(AC52="neg")</formula>
    </cfRule>
  </conditionalFormatting>
  <conditionalFormatting sqref="O19">
    <cfRule type="expression" dxfId="3" priority="3" stopIfTrue="1">
      <formula>AND(AD408="neg")</formula>
    </cfRule>
  </conditionalFormatting>
  <conditionalFormatting sqref="O19">
    <cfRule type="expression" dxfId="2" priority="4" stopIfTrue="1">
      <formula>AND(AC66="neg")</formula>
    </cfRule>
  </conditionalFormatting>
  <conditionalFormatting sqref="O33">
    <cfRule type="expression" dxfId="1" priority="1" stopIfTrue="1">
      <formula>AND(AD422="neg")</formula>
    </cfRule>
  </conditionalFormatting>
  <conditionalFormatting sqref="O33">
    <cfRule type="expression" dxfId="0" priority="2" stopIfTrue="1">
      <formula>AND(AC80="neg")</formula>
    </cfRule>
  </conditionalFormatting>
  <dataValidations count="1">
    <dataValidation type="list" allowBlank="1" showInputMessage="1" showErrorMessage="1" sqref="E5 E19 E33">
      <formula1>"Isolée,Ajoutée,Intégrée"</formula1>
    </dataValidation>
  </dataValidations>
  <pageMargins left="0.78740157499999996" right="0.78740157499999996" top="0.984251969" bottom="0.984251969" header="0.4921259845" footer="0.4921259845"/>
  <pageSetup paperSize="9" scale="6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61</vt:i4>
      </vt:variant>
    </vt:vector>
  </HeadingPairs>
  <TitlesOfParts>
    <vt:vector size="65" baseType="lpstr">
      <vt:lpstr>Version avancée</vt:lpstr>
      <vt:lpstr>Annexe</vt:lpstr>
      <vt:lpstr>Eligibilité</vt:lpstr>
      <vt:lpstr>Exemple</vt:lpstr>
      <vt:lpstr>annee_annonce</vt:lpstr>
      <vt:lpstr>annuite_amortissement</vt:lpstr>
      <vt:lpstr>autoconsommation</vt:lpstr>
      <vt:lpstr>categorie_puissance</vt:lpstr>
      <vt:lpstr>cout_total</vt:lpstr>
      <vt:lpstr>croissance_prix_elec</vt:lpstr>
      <vt:lpstr>date_mise_en_service</vt:lpstr>
      <vt:lpstr>duree_amortissement</vt:lpstr>
      <vt:lpstr>duree_rpc_annee</vt:lpstr>
      <vt:lpstr>ex1_autoconsommation</vt:lpstr>
      <vt:lpstr>ex1_choix_aide</vt:lpstr>
      <vt:lpstr>ex1_cout_total</vt:lpstr>
      <vt:lpstr>ex1_croissance_prix_elec</vt:lpstr>
      <vt:lpstr>ex1_date_annonce</vt:lpstr>
      <vt:lpstr>ex1_date_mise_en_service</vt:lpstr>
      <vt:lpstr>ex1_effet_fiscal</vt:lpstr>
      <vt:lpstr>ex1_frais_assurance</vt:lpstr>
      <vt:lpstr>ex1_m2</vt:lpstr>
      <vt:lpstr>ex1_pourcent_fp</vt:lpstr>
      <vt:lpstr>ex1_puissance_installee</vt:lpstr>
      <vt:lpstr>ex1_puissance_specifique</vt:lpstr>
      <vt:lpstr>ex1_reduction</vt:lpstr>
      <vt:lpstr>ex1_subvention_communale</vt:lpstr>
      <vt:lpstr>ex1_tarif_achat_au_distributeur</vt:lpstr>
      <vt:lpstr>ex1_tarif_vente_au_distributeur</vt:lpstr>
      <vt:lpstr>ex1_taux_deduction_fiscale</vt:lpstr>
      <vt:lpstr>ex1_taux_imposition_revenu</vt:lpstr>
      <vt:lpstr>ex1_taux_interet_dette</vt:lpstr>
      <vt:lpstr>ex1_temps_attente_rpc</vt:lpstr>
      <vt:lpstr>ex1_type_installation</vt:lpstr>
      <vt:lpstr>fond_propre</vt:lpstr>
      <vt:lpstr>frais_annuel</vt:lpstr>
      <vt:lpstr>inv_initial</vt:lpstr>
      <vt:lpstr>m2_panneaux</vt:lpstr>
      <vt:lpstr>mode_subvention_dispo</vt:lpstr>
      <vt:lpstr>montant_dette_initiale</vt:lpstr>
      <vt:lpstr>part_electricite_vendue</vt:lpstr>
      <vt:lpstr>pourcent_fond_propre</vt:lpstr>
      <vt:lpstr>production_annuelle</vt:lpstr>
      <vt:lpstr>production_non_imposee</vt:lpstr>
      <vt:lpstr>production_specifique</vt:lpstr>
      <vt:lpstr>puissance_installee</vt:lpstr>
      <vt:lpstr>reduction_annuelle_prod</vt:lpstr>
      <vt:lpstr>reinvestissement_effet_fiscal</vt:lpstr>
      <vt:lpstr>rendemement_fp</vt:lpstr>
      <vt:lpstr>rpc_data_range</vt:lpstr>
      <vt:lpstr>rpc_version_avancee</vt:lpstr>
      <vt:lpstr>ru_base</vt:lpstr>
      <vt:lpstr>ru_puissance</vt:lpstr>
      <vt:lpstr>subvention_communale</vt:lpstr>
      <vt:lpstr>subvention_init_avancee</vt:lpstr>
      <vt:lpstr>tarif_achat_elec_distributeur</vt:lpstr>
      <vt:lpstr>tarif_vente_elec</vt:lpstr>
      <vt:lpstr>tarif_vente_elec_distributeur</vt:lpstr>
      <vt:lpstr>taux_actualisation</vt:lpstr>
      <vt:lpstr>taux_deduction_fiscale</vt:lpstr>
      <vt:lpstr>taux_imposition_revenu</vt:lpstr>
      <vt:lpstr>taux_interet</vt:lpstr>
      <vt:lpstr>temps_attente</vt:lpstr>
      <vt:lpstr>type_installation</vt:lpstr>
      <vt:lpstr>type_subvention_avancee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AC_VS.JF</dc:creator>
  <cp:lastModifiedBy>Joel Fournier</cp:lastModifiedBy>
  <cp:lastPrinted>2014-05-27T05:58:17Z</cp:lastPrinted>
  <dcterms:created xsi:type="dcterms:W3CDTF">2011-06-28T08:11:00Z</dcterms:created>
  <dcterms:modified xsi:type="dcterms:W3CDTF">2014-12-04T17:15:02Z</dcterms:modified>
</cp:coreProperties>
</file>