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ACB2" lockStructure="1"/>
  <bookViews>
    <workbookView xWindow="360" yWindow="450" windowWidth="28275" windowHeight="12180"/>
  </bookViews>
  <sheets>
    <sheet name="Calcul" sheetId="1" r:id="rId1"/>
    <sheet name="Détail des calculs - STD" sheetId="4" state="hidden" r:id="rId2"/>
    <sheet name="Détail des calculs - PERF" sheetId="10" state="hidden" r:id="rId3"/>
  </sheets>
  <definedNames>
    <definedName name="DATA1" localSheetId="2">#REF!</definedName>
    <definedName name="DATA1">#REF!</definedName>
    <definedName name="DATA10" localSheetId="2">#REF!</definedName>
    <definedName name="DATA10">#REF!</definedName>
    <definedName name="DATA11" localSheetId="2">#REF!</definedName>
    <definedName name="DATA11">#REF!</definedName>
    <definedName name="DATA12" localSheetId="2">#REF!</definedName>
    <definedName name="DATA12">#REF!</definedName>
    <definedName name="DATA13" localSheetId="2">#REF!</definedName>
    <definedName name="DATA13">#REF!</definedName>
    <definedName name="DATA14" localSheetId="2">#REF!</definedName>
    <definedName name="DATA14">#REF!</definedName>
    <definedName name="DATA15" localSheetId="2">#REF!</definedName>
    <definedName name="DATA15">#REF!</definedName>
    <definedName name="DATA16" localSheetId="2">#REF!</definedName>
    <definedName name="DATA16">#REF!</definedName>
    <definedName name="DATA17" localSheetId="2">#REF!</definedName>
    <definedName name="DATA17">#REF!</definedName>
    <definedName name="DATA18" localSheetId="2">#REF!</definedName>
    <definedName name="DATA18">#REF!</definedName>
    <definedName name="DATA19" localSheetId="2">#REF!</definedName>
    <definedName name="DATA19">#REF!</definedName>
    <definedName name="DATA2" localSheetId="2">#REF!</definedName>
    <definedName name="DATA2">#REF!</definedName>
    <definedName name="DATA20" localSheetId="2">#REF!</definedName>
    <definedName name="DATA20">#REF!</definedName>
    <definedName name="DATA3" localSheetId="2">#REF!</definedName>
    <definedName name="DATA3">#REF!</definedName>
    <definedName name="DATA4">#REF!</definedName>
    <definedName name="DATA5">#REF!</definedName>
    <definedName name="DATA6">#REF!</definedName>
    <definedName name="DATA7" localSheetId="2">#REF!</definedName>
    <definedName name="DATA7">#REF!</definedName>
    <definedName name="DATA8" localSheetId="2">#REF!</definedName>
    <definedName name="DATA8">#REF!</definedName>
    <definedName name="DATA9" localSheetId="2">#REF!</definedName>
    <definedName name="DATA9">#REF!</definedName>
    <definedName name="_xlnm.Print_Titles" localSheetId="2">'Détail des calculs - PERF'!$1:$2</definedName>
    <definedName name="_xlnm.Print_Titles" localSheetId="1">'Détail des calculs - STD'!$1:$2</definedName>
    <definedName name="TEST1">#REF!</definedName>
    <definedName name="TEST2">#REF!</definedName>
    <definedName name="TEST3">#REF!</definedName>
    <definedName name="TEST4">#REF!</definedName>
    <definedName name="TESTHKEY" localSheetId="2">#REF!</definedName>
    <definedName name="TESTHKEY">#REF!</definedName>
    <definedName name="TESTKEYS">#REF!</definedName>
    <definedName name="TESTVKEY">#REF!</definedName>
    <definedName name="_xlnm.Print_Area" localSheetId="0">Calcul!$A$1:$V$182</definedName>
    <definedName name="_xlnm.Print_Area" localSheetId="2">'Détail des calculs - PERF'!$A$1:$H$59</definedName>
    <definedName name="_xlnm.Print_Area" localSheetId="1">'Détail des calculs - STD'!$A$1:$H$100</definedName>
  </definedNames>
  <calcPr calcId="145621"/>
</workbook>
</file>

<file path=xl/calcChain.xml><?xml version="1.0" encoding="utf-8"?>
<calcChain xmlns="http://schemas.openxmlformats.org/spreadsheetml/2006/main">
  <c r="H3" i="1" l="1"/>
  <c r="O166" i="1" l="1"/>
  <c r="O165" i="1"/>
  <c r="O168" i="1"/>
  <c r="O167" i="1"/>
  <c r="B83" i="1"/>
  <c r="A83" i="1"/>
  <c r="H174" i="1"/>
  <c r="H173" i="1"/>
  <c r="H84" i="1"/>
  <c r="H83" i="1"/>
  <c r="H85" i="1"/>
  <c r="A10" i="1"/>
  <c r="N78" i="1"/>
  <c r="N74" i="1"/>
  <c r="N59" i="1"/>
  <c r="N55" i="1"/>
  <c r="N23" i="1"/>
  <c r="N18" i="1"/>
  <c r="N13" i="1"/>
  <c r="N77" i="1"/>
  <c r="N58" i="1"/>
  <c r="N21" i="1"/>
  <c r="N16" i="1"/>
  <c r="N76" i="1"/>
  <c r="N57" i="1"/>
  <c r="N20" i="1"/>
  <c r="N11" i="1"/>
  <c r="N75" i="1"/>
  <c r="N60" i="1"/>
  <c r="N56" i="1"/>
  <c r="N24" i="1"/>
  <c r="N19" i="1"/>
  <c r="N14" i="1"/>
  <c r="N10" i="1"/>
  <c r="N62" i="1"/>
  <c r="N38" i="1"/>
  <c r="N12" i="1"/>
  <c r="N61" i="1"/>
  <c r="N37" i="1"/>
  <c r="N15" i="1"/>
  <c r="A131" i="1"/>
  <c r="E23" i="1"/>
  <c r="F125" i="1"/>
  <c r="A92" i="1"/>
  <c r="D180" i="1"/>
  <c r="F177" i="1"/>
  <c r="B177" i="1"/>
  <c r="A137" i="1"/>
  <c r="A130" i="1"/>
  <c r="E125" i="1"/>
  <c r="A125" i="1"/>
  <c r="A99" i="1"/>
  <c r="A95" i="1"/>
  <c r="A91" i="1"/>
  <c r="A87" i="1"/>
  <c r="A81" i="1"/>
  <c r="A73" i="1"/>
  <c r="A64" i="1"/>
  <c r="A60" i="1"/>
  <c r="A56" i="1"/>
  <c r="A51" i="1"/>
  <c r="C46" i="1"/>
  <c r="A43" i="1"/>
  <c r="A35" i="1"/>
  <c r="C23" i="1"/>
  <c r="A19" i="1"/>
  <c r="F5" i="1"/>
  <c r="B5" i="1"/>
  <c r="C180" i="1"/>
  <c r="E177" i="1"/>
  <c r="A177" i="1"/>
  <c r="D125" i="1"/>
  <c r="A123" i="1"/>
  <c r="A98" i="1"/>
  <c r="A94" i="1"/>
  <c r="A90" i="1"/>
  <c r="A86" i="1"/>
  <c r="A79" i="1"/>
  <c r="A71" i="1"/>
  <c r="A63" i="1"/>
  <c r="A59" i="1"/>
  <c r="A55" i="1"/>
  <c r="F46" i="1"/>
  <c r="B46" i="1"/>
  <c r="A41" i="1"/>
  <c r="F23" i="1"/>
  <c r="B23" i="1"/>
  <c r="A16" i="1"/>
  <c r="E5" i="1"/>
  <c r="A5" i="1"/>
  <c r="F180" i="1"/>
  <c r="B180" i="1"/>
  <c r="D177" i="1"/>
  <c r="A154" i="1"/>
  <c r="A129" i="1"/>
  <c r="C125" i="1"/>
  <c r="A101" i="1"/>
  <c r="A97" i="1"/>
  <c r="A93" i="1"/>
  <c r="A89" i="1"/>
  <c r="A85" i="1"/>
  <c r="A77" i="1"/>
  <c r="A66" i="1"/>
  <c r="A62" i="1"/>
  <c r="A58" i="1"/>
  <c r="A54" i="1"/>
  <c r="E46" i="1"/>
  <c r="A46" i="1"/>
  <c r="A39" i="1"/>
  <c r="A23" i="1"/>
  <c r="A13" i="1"/>
  <c r="D5" i="1"/>
  <c r="A3" i="1"/>
  <c r="E180" i="1"/>
  <c r="A180" i="1"/>
  <c r="C177" i="1"/>
  <c r="B125" i="1"/>
  <c r="A100" i="1"/>
  <c r="A96" i="1"/>
  <c r="A88" i="1"/>
  <c r="A84" i="1"/>
  <c r="A76" i="1"/>
  <c r="A57" i="1"/>
  <c r="A37" i="1"/>
  <c r="C5" i="1"/>
  <c r="A53" i="1"/>
  <c r="D23" i="1"/>
  <c r="A65" i="1"/>
  <c r="D46" i="1"/>
  <c r="A22" i="1"/>
  <c r="A61" i="1"/>
  <c r="A45" i="1"/>
  <c r="A8" i="1"/>
  <c r="C72" i="4"/>
  <c r="H74" i="1" l="1"/>
  <c r="D135" i="1"/>
  <c r="C135" i="1"/>
  <c r="D134" i="1"/>
  <c r="C134" i="1"/>
  <c r="D93" i="1" l="1"/>
  <c r="C93" i="1"/>
  <c r="H20" i="1"/>
  <c r="B164" i="1" s="1"/>
  <c r="C132" i="1"/>
  <c r="C142" i="1" s="1"/>
  <c r="H77" i="1"/>
  <c r="H76" i="1"/>
  <c r="H45" i="1"/>
  <c r="D22" i="10" l="1"/>
  <c r="D23" i="10"/>
  <c r="D24" i="10"/>
  <c r="D21" i="10"/>
  <c r="E55" i="4" l="1"/>
  <c r="E54" i="4"/>
  <c r="C58" i="1"/>
  <c r="O65" i="1" l="1"/>
  <c r="P65" i="1" s="1"/>
  <c r="F1" i="4" l="1"/>
  <c r="O7" i="1" l="1"/>
  <c r="O8" i="1" s="1"/>
  <c r="A22" i="4" l="1"/>
  <c r="C4" i="10"/>
  <c r="C4" i="4"/>
  <c r="E33" i="10" l="1"/>
  <c r="E32" i="10"/>
  <c r="E34" i="10" l="1"/>
  <c r="C6" i="10"/>
  <c r="C14" i="10" s="1"/>
  <c r="C15" i="10" l="1"/>
  <c r="D27" i="10"/>
  <c r="C17" i="10" l="1"/>
  <c r="C8" i="10"/>
  <c r="E28" i="10"/>
  <c r="C18" i="10"/>
  <c r="B45" i="10" s="1"/>
  <c r="F1" i="10"/>
  <c r="F11" i="4" l="1"/>
  <c r="E11" i="4"/>
  <c r="C7" i="10" l="1"/>
  <c r="C7" i="4"/>
  <c r="H41" i="1"/>
  <c r="C6" i="4"/>
  <c r="C8" i="4"/>
  <c r="E26" i="10" l="1"/>
  <c r="E29" i="10" s="1"/>
  <c r="E37" i="10" s="1"/>
  <c r="C71" i="4"/>
  <c r="C70" i="4"/>
  <c r="B165" i="1"/>
  <c r="C74" i="4"/>
  <c r="E78" i="4" l="1"/>
  <c r="E79" i="4" s="1"/>
  <c r="E64" i="4"/>
  <c r="E56" i="4"/>
  <c r="E53" i="4"/>
  <c r="F46" i="4"/>
  <c r="E46" i="4"/>
  <c r="F32" i="4"/>
  <c r="E32" i="4"/>
  <c r="F27" i="4"/>
  <c r="E27" i="4"/>
  <c r="F24" i="4"/>
  <c r="E24" i="4"/>
  <c r="F23" i="4"/>
  <c r="E23" i="4"/>
  <c r="F12" i="4"/>
  <c r="E12" i="4"/>
  <c r="C73" i="4"/>
  <c r="D102" i="1" l="1"/>
  <c r="D98" i="1"/>
  <c r="D109" i="1" s="1"/>
  <c r="D92" i="1"/>
  <c r="D94" i="1" s="1"/>
  <c r="D88" i="1"/>
  <c r="D132" i="1"/>
  <c r="D142" i="1" s="1"/>
  <c r="D116" i="1"/>
  <c r="D112" i="1"/>
  <c r="E16" i="4" l="1"/>
  <c r="D114" i="1"/>
  <c r="F30" i="4"/>
  <c r="D138" i="1"/>
  <c r="F13" i="4"/>
  <c r="D143" i="1"/>
  <c r="F16" i="4"/>
  <c r="D117" i="1"/>
  <c r="F33" i="4"/>
  <c r="D115" i="1"/>
  <c r="F31" i="4"/>
  <c r="D104" i="1"/>
  <c r="D105" i="1" s="1"/>
  <c r="F25" i="4"/>
  <c r="C143" i="1"/>
  <c r="C116" i="1"/>
  <c r="C112" i="1"/>
  <c r="C102" i="1"/>
  <c r="C98" i="1"/>
  <c r="C109" i="1" s="1"/>
  <c r="C92" i="1"/>
  <c r="C88" i="1"/>
  <c r="C67" i="1"/>
  <c r="H17" i="1"/>
  <c r="H14" i="1"/>
  <c r="H11" i="1"/>
  <c r="B26" i="1" l="1"/>
  <c r="D83" i="1"/>
  <c r="C83" i="1"/>
  <c r="C159" i="1"/>
  <c r="A161" i="1"/>
  <c r="A159" i="1"/>
  <c r="A160" i="1"/>
  <c r="Q65" i="1"/>
  <c r="E65" i="4"/>
  <c r="E83" i="4" s="1"/>
  <c r="D106" i="1"/>
  <c r="D144" i="1"/>
  <c r="F18" i="4"/>
  <c r="F19" i="4"/>
  <c r="E38" i="10"/>
  <c r="E39" i="10" s="1"/>
  <c r="E18" i="4"/>
  <c r="E19" i="4"/>
  <c r="E25" i="4"/>
  <c r="C117" i="1"/>
  <c r="E33" i="4"/>
  <c r="O67" i="1"/>
  <c r="P67" i="1" s="1"/>
  <c r="Q67" i="1" s="1"/>
  <c r="E57" i="4"/>
  <c r="F45" i="4"/>
  <c r="F47" i="4" s="1"/>
  <c r="F14" i="4"/>
  <c r="F26" i="4"/>
  <c r="C138" i="1"/>
  <c r="E13" i="4"/>
  <c r="C115" i="1"/>
  <c r="E31" i="4"/>
  <c r="O66" i="1"/>
  <c r="P66" i="1" s="1"/>
  <c r="C61" i="1" s="1"/>
  <c r="C62" i="1" s="1"/>
  <c r="H26" i="1"/>
  <c r="C94" i="1"/>
  <c r="C104" i="1"/>
  <c r="C105" i="1" s="1"/>
  <c r="H105" i="1" s="1"/>
  <c r="C144" i="1"/>
  <c r="B166" i="1" l="1"/>
  <c r="B167" i="1"/>
  <c r="B47" i="10" s="1"/>
  <c r="C60" i="1"/>
  <c r="C156" i="1"/>
  <c r="C128" i="1"/>
  <c r="C148" i="1"/>
  <c r="D148" i="1"/>
  <c r="D128" i="1"/>
  <c r="Q66" i="1"/>
  <c r="F28" i="4"/>
  <c r="D108" i="1"/>
  <c r="D113" i="1" s="1"/>
  <c r="F20" i="4"/>
  <c r="E20" i="10"/>
  <c r="E42" i="10"/>
  <c r="E43" i="10" s="1"/>
  <c r="C106" i="1"/>
  <c r="E20" i="4"/>
  <c r="E45" i="4"/>
  <c r="E47" i="4" s="1"/>
  <c r="E14" i="4"/>
  <c r="C114" i="1"/>
  <c r="E30" i="4"/>
  <c r="E26" i="4"/>
  <c r="E76" i="4"/>
  <c r="B91" i="4" l="1"/>
  <c r="B90" i="4"/>
  <c r="E42" i="4"/>
  <c r="F42" i="4"/>
  <c r="E47" i="10"/>
  <c r="C47" i="10"/>
  <c r="F29" i="4"/>
  <c r="F34" i="4" s="1"/>
  <c r="F36" i="4" s="1"/>
  <c r="F41" i="4" s="1"/>
  <c r="D118" i="1"/>
  <c r="E81" i="4"/>
  <c r="E58" i="4"/>
  <c r="C108" i="1"/>
  <c r="C113" i="1" s="1"/>
  <c r="E28" i="4"/>
  <c r="D120" i="1" l="1"/>
  <c r="D146" i="1" s="1"/>
  <c r="C158" i="1"/>
  <c r="E59" i="4"/>
  <c r="E29" i="4"/>
  <c r="E34" i="4" s="1"/>
  <c r="E36" i="4" s="1"/>
  <c r="C118" i="1"/>
  <c r="C120" i="1" s="1"/>
  <c r="D150" i="1" l="1"/>
  <c r="H120" i="1"/>
  <c r="C146" i="1"/>
  <c r="E41" i="4"/>
  <c r="E39" i="4"/>
  <c r="B88" i="4" s="1"/>
  <c r="E61" i="4"/>
  <c r="E82" i="4" s="1"/>
  <c r="F43" i="4" l="1"/>
  <c r="D152" i="1"/>
  <c r="C150" i="1"/>
  <c r="C152" i="1" s="1"/>
  <c r="H88" i="4"/>
  <c r="A94" i="4" s="1"/>
  <c r="H89" i="4"/>
  <c r="H39" i="4"/>
  <c r="F39" i="4"/>
  <c r="C161" i="1" l="1"/>
  <c r="F49" i="4"/>
  <c r="E85" i="4" s="1"/>
  <c r="E49" i="4"/>
  <c r="E84" i="4" s="1"/>
  <c r="C160" i="1"/>
  <c r="E43" i="4"/>
  <c r="C162" i="1" l="1"/>
  <c r="C165" i="1" s="1"/>
  <c r="C88" i="4" s="1"/>
  <c r="E86" i="4"/>
  <c r="C167" i="1" l="1"/>
  <c r="D167" i="1" s="1"/>
  <c r="C166" i="1"/>
  <c r="D166" i="1" s="1"/>
  <c r="D173" i="1" s="1"/>
  <c r="J166" i="1" l="1"/>
  <c r="E173" i="1"/>
  <c r="H166" i="1"/>
  <c r="E91" i="4"/>
  <c r="E174" i="1"/>
  <c r="D174" i="1"/>
  <c r="C90" i="4"/>
  <c r="C91" i="4"/>
  <c r="L166" i="1"/>
  <c r="K166" i="1"/>
  <c r="E90" i="4"/>
  <c r="B174" i="1" l="1"/>
  <c r="A171" i="1"/>
  <c r="B173" i="1"/>
</calcChain>
</file>

<file path=xl/sharedStrings.xml><?xml version="1.0" encoding="utf-8"?>
<sst xmlns="http://schemas.openxmlformats.org/spreadsheetml/2006/main" count="578" uniqueCount="426">
  <si>
    <t>Formation et catégorie de frais</t>
  </si>
  <si>
    <t>Type de formation</t>
  </si>
  <si>
    <t>Formation tertiaire</t>
  </si>
  <si>
    <t>Fréquentation d'une classe du cycle d'orientation dans une autre région linguistique ou d'une structure sport-arts-formation</t>
  </si>
  <si>
    <t>Ecoles préparatoires (écoles préprofessionnelles, …)</t>
  </si>
  <si>
    <t>Catégorie de frais</t>
  </si>
  <si>
    <t>Apprentissage</t>
  </si>
  <si>
    <t>Pension et logement  hors canton</t>
  </si>
  <si>
    <t>Formation secondaire du deuxième degré (Collège, ECCG…)</t>
  </si>
  <si>
    <t>Type d'école</t>
  </si>
  <si>
    <t>Type</t>
  </si>
  <si>
    <t>Repas domicile</t>
  </si>
  <si>
    <t>Repas hors domicile</t>
  </si>
  <si>
    <t>Logement VS</t>
  </si>
  <si>
    <t>Logement hors VS</t>
  </si>
  <si>
    <t>Publique</t>
  </si>
  <si>
    <t>Perfectionnement en emploi</t>
  </si>
  <si>
    <t>Formation</t>
  </si>
  <si>
    <t xml:space="preserve">Maximum </t>
  </si>
  <si>
    <t>Repas de midi à domicile</t>
  </si>
  <si>
    <t>Ecolage</t>
  </si>
  <si>
    <t>Repas de midi hors domicile</t>
  </si>
  <si>
    <t>Montant des frais liés au cours jusqu'à un maximum de 16'000</t>
  </si>
  <si>
    <t>Frais admis</t>
  </si>
  <si>
    <t>si "publique"</t>
  </si>
  <si>
    <t>Privée</t>
  </si>
  <si>
    <t>Calcul ressources personnelles</t>
  </si>
  <si>
    <t>Statut</t>
  </si>
  <si>
    <t>Célibataire</t>
  </si>
  <si>
    <t>Variable</t>
  </si>
  <si>
    <t>Formules</t>
  </si>
  <si>
    <t>Revenu du requérant (RR)</t>
  </si>
  <si>
    <t>Saisie manuelle</t>
  </si>
  <si>
    <t>Revenu Requérant</t>
  </si>
  <si>
    <t>Revenu du conjoint (RC)</t>
  </si>
  <si>
    <t>Revenu Conjoint</t>
  </si>
  <si>
    <t>Revenu brut (RB)</t>
  </si>
  <si>
    <t>RR+RC</t>
  </si>
  <si>
    <t>Revenu Brut</t>
  </si>
  <si>
    <t>Franchise sur revenu (FR)</t>
  </si>
  <si>
    <t xml:space="preserve">Revenu Fortune </t>
  </si>
  <si>
    <t>Fortune nette (FN)</t>
  </si>
  <si>
    <t>Franchise(FR)</t>
  </si>
  <si>
    <t>RB - FR</t>
  </si>
  <si>
    <t>RB-FR+RF</t>
  </si>
  <si>
    <t>Revenu Fortune (RF)</t>
  </si>
  <si>
    <t>5% FN</t>
  </si>
  <si>
    <t>Marié/Partenariat</t>
  </si>
  <si>
    <t>Ressources personnelles</t>
  </si>
  <si>
    <t>Si Orphelin et marié/pacsé  =&gt; marié/pacsé</t>
  </si>
  <si>
    <t>Revenu net</t>
  </si>
  <si>
    <t>Bâtiment privés (BP)</t>
  </si>
  <si>
    <t>T2920+T2922</t>
  </si>
  <si>
    <t>Bâtiment privés revalorisé (BPR)</t>
  </si>
  <si>
    <t>si(BP&gt;100'000 ; 100'000+(BP-100’000)*145% ; BP)</t>
  </si>
  <si>
    <t>Fortune revalorisée brute (FRB)</t>
  </si>
  <si>
    <t>T3500-BP+BPR</t>
  </si>
  <si>
    <t>BP Total</t>
  </si>
  <si>
    <t>Fortune revalorisée nette (FRN)</t>
  </si>
  <si>
    <t>FRB - T4000</t>
  </si>
  <si>
    <t>Revenu fortune (RF)</t>
  </si>
  <si>
    <t>si(FRN&gt;0; 5% * FRN; 0)</t>
  </si>
  <si>
    <t>Pilier 3a calc (P3C)</t>
  </si>
  <si>
    <t>T2210+T2220</t>
  </si>
  <si>
    <t>P3C Total</t>
  </si>
  <si>
    <t>Pilier 3a admis (P3A)</t>
  </si>
  <si>
    <t>SI(ET(T2210&gt;0;T2220&gt;0);Max légal*2;Max légal)</t>
  </si>
  <si>
    <t>P3A</t>
  </si>
  <si>
    <t>Pilier 3a (P3)</t>
  </si>
  <si>
    <t>si(P3C&gt;P3A;P3A;P3C)</t>
  </si>
  <si>
    <t>P3</t>
  </si>
  <si>
    <t>Revenu fortune immobilière (RFI)</t>
  </si>
  <si>
    <t>T1110+T1120+T1130</t>
  </si>
  <si>
    <t>Revenu fortune immobilière négatif (RFIN)</t>
  </si>
  <si>
    <t>si(RFI&lt;0;-RFI;0)</t>
  </si>
  <si>
    <t>RFI</t>
  </si>
  <si>
    <t>Revenu + Fortune acquis à l'étranger</t>
  </si>
  <si>
    <t>Ajustement manuel par l’utilisateur</t>
  </si>
  <si>
    <t>Pensions alimentaires</t>
  </si>
  <si>
    <t>Prestations en capital reçues (PCR)</t>
  </si>
  <si>
    <t>T1010+T1020</t>
  </si>
  <si>
    <t>PCR</t>
  </si>
  <si>
    <t>Revenu déterminant (RD)</t>
  </si>
  <si>
    <t>T2400+RF+P3+RFIN-T2531-PCR</t>
  </si>
  <si>
    <t>Calcul du Revenu Déterminant</t>
  </si>
  <si>
    <t>RN</t>
  </si>
  <si>
    <t>+RF</t>
  </si>
  <si>
    <t>+P3</t>
  </si>
  <si>
    <t>+RFIN</t>
  </si>
  <si>
    <t>-PA</t>
  </si>
  <si>
    <t>-PCR</t>
  </si>
  <si>
    <t>Revenu déterminant</t>
  </si>
  <si>
    <t>Contribution des parents</t>
  </si>
  <si>
    <t>Tabelle "Besoins minimaux"</t>
  </si>
  <si>
    <t>Nbre personne</t>
  </si>
  <si>
    <t>Besoins minimaux</t>
  </si>
  <si>
    <t>Montants de charges</t>
  </si>
  <si>
    <t>Supplément enfants en formation</t>
  </si>
  <si>
    <t>Total montants de charges</t>
  </si>
  <si>
    <t>Solde disponible</t>
  </si>
  <si>
    <t>Réduction contribution (50% si famille recomposée)</t>
  </si>
  <si>
    <t>0=non | 1=oui</t>
  </si>
  <si>
    <t>Contribution totale des parents</t>
  </si>
  <si>
    <t xml:space="preserve">Contribution par enfant </t>
  </si>
  <si>
    <t>Manque identifié</t>
  </si>
  <si>
    <t>Allocation</t>
  </si>
  <si>
    <t>Bourse</t>
  </si>
  <si>
    <t xml:space="preserve">Prêt </t>
  </si>
  <si>
    <t>Nombre total d'enfants en formation (incl. PDL)</t>
  </si>
  <si>
    <t>Nombre total d'enfants à charge (incl. PDL)</t>
  </si>
  <si>
    <t>Orphelin de père et de mère (célibataire)</t>
  </si>
  <si>
    <t>Total des parts</t>
  </si>
  <si>
    <t>Nombre d'enfants à charge</t>
  </si>
  <si>
    <t>Orphelin : 30'000.-</t>
  </si>
  <si>
    <t>Std : 30%*RB mais min : 6'000.- (NIP) et 30'000 (IP)</t>
  </si>
  <si>
    <t>Mariés : 50%*RB mais min : 12'000.- (NIP) et 45'000.- (IP)</t>
  </si>
  <si>
    <t>Indépendance partielle des parents (IP)</t>
  </si>
  <si>
    <t>(0 si IP, Indépendant des parents)</t>
  </si>
  <si>
    <t>francs</t>
  </si>
  <si>
    <t>Montants accordés</t>
  </si>
  <si>
    <t>(+ 4'000 /enfant)</t>
  </si>
  <si>
    <t>Maximum admis</t>
  </si>
  <si>
    <t>Année scolaire</t>
  </si>
  <si>
    <t>N° Référence</t>
  </si>
  <si>
    <t>xxxxxx</t>
  </si>
  <si>
    <t>Nom - Prénom</t>
  </si>
  <si>
    <t>Etat civil</t>
  </si>
  <si>
    <t xml:space="preserve">Besoins admis de la famille </t>
  </si>
  <si>
    <t>xxxxx</t>
  </si>
  <si>
    <t>Annexe II</t>
  </si>
  <si>
    <t>Art. 7.2</t>
  </si>
  <si>
    <t>Besoins de la famille</t>
  </si>
  <si>
    <t>+</t>
  </si>
  <si>
    <t>Art. 6.1</t>
  </si>
  <si>
    <t>Fortune revalorisée brute</t>
  </si>
  <si>
    <t>Fortune revalorisée nette</t>
  </si>
  <si>
    <t>Revenu de la fortune (5 % fortune revalorisée nette)</t>
  </si>
  <si>
    <t>-</t>
  </si>
  <si>
    <t xml:space="preserve">Prise en compte des prestations parentales </t>
  </si>
  <si>
    <t>Art. 12</t>
  </si>
  <si>
    <t>Art. 7.1</t>
  </si>
  <si>
    <t>Réduction pour les familles recomposée (50%)</t>
  </si>
  <si>
    <t>Art. 7.4</t>
  </si>
  <si>
    <t xml:space="preserve">Contribution totale des parents </t>
  </si>
  <si>
    <t>Total des enfants avec une contribution</t>
  </si>
  <si>
    <t>Contribution par enfant</t>
  </si>
  <si>
    <t>Art. 7.3</t>
  </si>
  <si>
    <t>Revenus personnels</t>
  </si>
  <si>
    <t>Art. 5</t>
  </si>
  <si>
    <t>Revenus du conjoint</t>
  </si>
  <si>
    <t>Revenus bruts</t>
  </si>
  <si>
    <t>Franchise</t>
  </si>
  <si>
    <t>Fortune personnelle</t>
  </si>
  <si>
    <t xml:space="preserve">Fortune nette </t>
  </si>
  <si>
    <t>5% de la fortune nette</t>
  </si>
  <si>
    <t xml:space="preserve">Calcul de l'allocation </t>
  </si>
  <si>
    <t>Art. 4</t>
  </si>
  <si>
    <t>Les bourses inférieures à 500 francs et les prêts inférieurs à 1'000 francs ne sont pas alloués</t>
  </si>
  <si>
    <t>Montant calculé</t>
  </si>
  <si>
    <t>Montant alloué</t>
  </si>
  <si>
    <t xml:space="preserve">Cas 1 : montant négatif </t>
  </si>
  <si>
    <t>Montant &lt; 0</t>
  </si>
  <si>
    <t xml:space="preserve">Cas 2 : Indépendance des prestations parentales </t>
  </si>
  <si>
    <t>Bourse 1/3</t>
  </si>
  <si>
    <t>Prêt 2/3</t>
  </si>
  <si>
    <t>Cas 3 : Montants forcés</t>
  </si>
  <si>
    <t>Prêt</t>
  </si>
  <si>
    <t>Cas 3 : Formation Secondaire</t>
  </si>
  <si>
    <t>Bourse 100%</t>
  </si>
  <si>
    <t>Art. 8</t>
  </si>
  <si>
    <t>Cas 4 : Formation tertiaire</t>
  </si>
  <si>
    <t>Bourse 80%</t>
  </si>
  <si>
    <t>Prêt 20%</t>
  </si>
  <si>
    <t>Revenu déterminant calculé</t>
  </si>
  <si>
    <t>Allocation possible</t>
  </si>
  <si>
    <t>Lieu de formation</t>
  </si>
  <si>
    <t>Détail des calculs</t>
  </si>
  <si>
    <t>Montants alloués</t>
  </si>
  <si>
    <t>Annexe I</t>
  </si>
  <si>
    <t>Nombre d'enfants à charge du(de la) requérant(e )</t>
  </si>
  <si>
    <t>Art.10</t>
  </si>
  <si>
    <t>Supplément pour enfants à charge (+4'000.- /enfant)</t>
  </si>
  <si>
    <t xml:space="preserve">Montant maximum de frais annuels admis </t>
  </si>
  <si>
    <t xml:space="preserve">Montant de frais maximums admis </t>
  </si>
  <si>
    <t>Revenus bruts après franchise</t>
  </si>
  <si>
    <t>Formation à distance (tertiaire)</t>
  </si>
  <si>
    <t>Nombre de semestres</t>
  </si>
  <si>
    <t>Nombre de semestre(s)</t>
  </si>
  <si>
    <t>Nombre de personnes dans le ménage</t>
  </si>
  <si>
    <t>Nombre d'enfant à charge</t>
  </si>
  <si>
    <t>Nombre d'enfants vivant avec l'autre parent à prendre en compte</t>
  </si>
  <si>
    <t>Nombre de parents</t>
  </si>
  <si>
    <r>
      <t xml:space="preserve">Fortune brute  </t>
    </r>
    <r>
      <rPr>
        <i/>
        <sz val="9"/>
        <color theme="1"/>
        <rFont val="Calibri"/>
        <family val="2"/>
        <scheme val="minor"/>
      </rPr>
      <t>(3500)</t>
    </r>
  </si>
  <si>
    <r>
      <t xml:space="preserve">Bâtiment privés  </t>
    </r>
    <r>
      <rPr>
        <i/>
        <sz val="9"/>
        <color theme="1"/>
        <rFont val="Calibri"/>
        <family val="2"/>
        <scheme val="minor"/>
      </rPr>
      <t>(2920,2922)</t>
    </r>
  </si>
  <si>
    <r>
      <t xml:space="preserve">Dette  </t>
    </r>
    <r>
      <rPr>
        <i/>
        <sz val="9"/>
        <color theme="1"/>
        <rFont val="Calibri"/>
        <family val="2"/>
        <scheme val="minor"/>
      </rPr>
      <t>(4000)</t>
    </r>
  </si>
  <si>
    <r>
      <t xml:space="preserve">Revenu net </t>
    </r>
    <r>
      <rPr>
        <sz val="9"/>
        <color theme="1"/>
        <rFont val="Calibri"/>
        <family val="2"/>
        <scheme val="minor"/>
      </rPr>
      <t xml:space="preserve"> </t>
    </r>
    <r>
      <rPr>
        <i/>
        <sz val="9"/>
        <color theme="1"/>
        <rFont val="Calibri"/>
        <family val="2"/>
        <scheme val="minor"/>
      </rPr>
      <t>(2400)</t>
    </r>
  </si>
  <si>
    <r>
      <t xml:space="preserve">Pilier 3a  </t>
    </r>
    <r>
      <rPr>
        <i/>
        <sz val="9"/>
        <color theme="1"/>
        <rFont val="Calibri"/>
        <family val="2"/>
        <scheme val="minor"/>
      </rPr>
      <t>(2210,2220)</t>
    </r>
  </si>
  <si>
    <r>
      <t xml:space="preserve">Pensions alimentaires versées  </t>
    </r>
    <r>
      <rPr>
        <i/>
        <sz val="9"/>
        <color theme="1"/>
        <rFont val="Calibri"/>
        <family val="2"/>
        <scheme val="minor"/>
      </rPr>
      <t>(2531)</t>
    </r>
  </si>
  <si>
    <r>
      <t xml:space="preserve">Prestations en capital reçues  </t>
    </r>
    <r>
      <rPr>
        <i/>
        <sz val="9"/>
        <color theme="1"/>
        <rFont val="Calibri"/>
        <family val="2"/>
        <scheme val="minor"/>
      </rPr>
      <t>(1010,1020)</t>
    </r>
  </si>
  <si>
    <t>Nom</t>
  </si>
  <si>
    <t>Référence</t>
  </si>
  <si>
    <t>Veuf(ve)</t>
  </si>
  <si>
    <t xml:space="preserve">Divorcé(e) </t>
  </si>
  <si>
    <t xml:space="preserve">Séparé(e) </t>
  </si>
  <si>
    <t xml:space="preserve">Marié(e) </t>
  </si>
  <si>
    <t>Partenariat enregistré</t>
  </si>
  <si>
    <t xml:space="preserve">Remarié(e) </t>
  </si>
  <si>
    <t>Célibataire, Divorcé, Spéaré, Veuf</t>
  </si>
  <si>
    <r>
      <t xml:space="preserve">Revenu négatif de la fortune immobilière </t>
    </r>
    <r>
      <rPr>
        <sz val="9"/>
        <rFont val="Calibri"/>
        <family val="2"/>
        <scheme val="minor"/>
      </rPr>
      <t xml:space="preserve"> </t>
    </r>
    <r>
      <rPr>
        <i/>
        <sz val="9"/>
        <rFont val="Calibri"/>
        <family val="2"/>
        <scheme val="minor"/>
      </rPr>
      <t>(1110,1120,1130)</t>
    </r>
  </si>
  <si>
    <t xml:space="preserve">Sion, le </t>
  </si>
  <si>
    <t>Mittagessen auswärts</t>
  </si>
  <si>
    <t>Ledig</t>
  </si>
  <si>
    <t>Verheiratet</t>
  </si>
  <si>
    <t>Geschieden</t>
  </si>
  <si>
    <t>Getrennt</t>
  </si>
  <si>
    <t>Witwer (Witwe)</t>
  </si>
  <si>
    <t>Wiederverheiratet</t>
  </si>
  <si>
    <t>Eingetragene Partnerschaft</t>
  </si>
  <si>
    <t>Mittagessen zuhause</t>
  </si>
  <si>
    <t>Unterkunft und Verpflegung ausserhalb des Kantons</t>
  </si>
  <si>
    <t>Fernstudium</t>
  </si>
  <si>
    <t>Berufsbegleitende Weiterbildung</t>
  </si>
  <si>
    <t>Pension et logement hors famille</t>
  </si>
  <si>
    <t>Unterkunft und Verpflegung ausserhalb der Familie</t>
  </si>
  <si>
    <t xml:space="preserve">Besoins de la famille </t>
  </si>
  <si>
    <t>Nombre d'enfants en formation post-obligatoire</t>
  </si>
  <si>
    <t>Supplément de formation (1'800.- / enfants en formation p.-o.)</t>
  </si>
  <si>
    <t>Solde disponible (Revenu déterminant - Besoins)</t>
  </si>
  <si>
    <t>Art. 14</t>
  </si>
  <si>
    <t xml:space="preserve"> </t>
  </si>
  <si>
    <t>Supplément pour enfants à charge (+6'000.- /enfant)</t>
  </si>
  <si>
    <t>Revenu brut maximum</t>
  </si>
  <si>
    <t>Formation professionnelle supérieure</t>
  </si>
  <si>
    <t>Revenus brut annuel</t>
  </si>
  <si>
    <t>Revenu brut maximum admis</t>
  </si>
  <si>
    <t>Revenu brut annuel</t>
  </si>
  <si>
    <t>Revenu brut  annuel</t>
  </si>
  <si>
    <t xml:space="preserve">Revenus du requérant </t>
  </si>
  <si>
    <t>Année taxation</t>
  </si>
  <si>
    <t>Aujourd'hui</t>
  </si>
  <si>
    <t>(1=Parents mariés; 2=Mère; 3=Père; 4=Père + Mère)</t>
  </si>
  <si>
    <t>Rentes du requérant</t>
  </si>
  <si>
    <t>Ordonnance</t>
  </si>
  <si>
    <t>Aucune aide n'est accordée si le requérant dispose d'un revenu brut supérieur à 36'000 francs acquis pendant l'année pour laquelle il demande une aide. 
Pour les personnes mariées, le revenu brut du couple ne doit pas dépasser 54'000 francs.
Ces deux limites sont augmentées de 6'000 francs par enfant à charge.</t>
  </si>
  <si>
    <t>Frais de repas</t>
  </si>
  <si>
    <t>Frais de déplacement</t>
  </si>
  <si>
    <t>Frais de logement</t>
  </si>
  <si>
    <t>Inscription/Taxes/Ecolage</t>
  </si>
  <si>
    <t>2017/2018</t>
  </si>
  <si>
    <t>Prénom</t>
  </si>
  <si>
    <t>Non</t>
  </si>
  <si>
    <t>Oui</t>
  </si>
  <si>
    <t>Situation familiale actuelle des parents</t>
  </si>
  <si>
    <t>Votre mère est-elle remariée ?</t>
  </si>
  <si>
    <t>Votre père est-il remarié ?</t>
  </si>
  <si>
    <t>A compléter uniquement s'il s'agit d'un perfectionnement en emploi (Inclure tous les frais liés au cours) ou si la formation est suivie dans une école privée (uniquement les frais d'écolage)</t>
  </si>
  <si>
    <t>Année de formation</t>
  </si>
  <si>
    <t>Situation de la personne en formation</t>
  </si>
  <si>
    <t>Situation familiale des parents</t>
  </si>
  <si>
    <t>Calcul revenu déterminant des parents</t>
  </si>
  <si>
    <t>Composition de la famille par ménage</t>
  </si>
  <si>
    <t>Nombre total de personne à prendre en compte dans le ménage</t>
  </si>
  <si>
    <r>
      <rPr>
        <b/>
        <sz val="11"/>
        <color theme="1"/>
        <rFont val="Calibri"/>
        <family val="2"/>
        <scheme val="minor"/>
      </rPr>
      <t xml:space="preserve">Bienvenue dans le calculateur en ligne des bourses et prêts d’études du canton du Valais. </t>
    </r>
    <r>
      <rPr>
        <sz val="11"/>
        <color theme="1"/>
        <rFont val="Calibri"/>
        <family val="2"/>
        <scheme val="minor"/>
      </rPr>
      <t xml:space="preserve">
Ce calculateur est mis à disposition par la section des bourses et prêts d’études.
</t>
    </r>
    <r>
      <rPr>
        <b/>
        <sz val="11"/>
        <color rgb="FFFF0000"/>
        <rFont val="Calibri"/>
        <family val="2"/>
        <scheme val="minor"/>
      </rPr>
      <t>Le calcul des bourses et/ou prêt s d’études vous est présenté à titre indicatif !
Il n'engage en aucun cas l'Administration cantonale, ni la Commission des Bourses et des Prêts d'études, car les bourses et prêts d’études sont calculés par l'autorité compétente sur la base des documents à fournir par le requérant, notamment la taxation définitive des parents, les gains du requérant, le nombre d’enfants à charge et en formation, etc...</t>
    </r>
    <r>
      <rPr>
        <sz val="11"/>
        <color theme="1"/>
        <rFont val="Calibri"/>
        <family val="2"/>
        <scheme val="minor"/>
      </rPr>
      <t xml:space="preserve">
Le résultat du calcul correspond à une estimation basée sur les données que vous allez insérer. Des éléments de votre situation personnelle peuvent ne pas être pris en considération par le calculateur.
Pour compléter le calcul, vous avez besoin de la taxation fiscale de vos parents et du montant de vos gains durant l’année scolaire. Les données sont à indiquer pour une année de formation complète.
Certaines situations plus complexes, comme celles qui concernent la répartition des enfants dans les ménages lorsque les parents sont séparés, notamment lors de garde partagée ainsi que la détermination de l’indépendance partielle ou non des prestations parentales ont été intégrées au calculateur. Toutefois, elles peuvent être sujette à une interprétation erronée de votre part et conduire à un résultat incorrect.
Pour d’autres conditions à remplir pour l’octroi d’une bourse (reconnaissance de la formation, reconnaissance de l’établissement de formation, compétence du canton, …), veuillez contacter la section des bourses et prêts d'études.
</t>
    </r>
  </si>
  <si>
    <t>Montant de l'aide financière</t>
  </si>
  <si>
    <t>0= &lt; 180'000 | 1= &gt;180'000</t>
  </si>
  <si>
    <t>1=  formation tertiraire et FRB &gt;1'000'000</t>
  </si>
  <si>
    <t xml:space="preserve">Remarques : </t>
  </si>
  <si>
    <t>Type de formation envisagée</t>
  </si>
  <si>
    <t>Parents divorcés/séparés/jamais mariés ensemble et droit de garde à la mère (contribution d'entretien versée par le père)</t>
  </si>
  <si>
    <t>Parents divorcés/séparés/jamais mariés ensemble et droit de garde partagée (pas de contribution d'entretien versée par les parents)</t>
  </si>
  <si>
    <t>Revenus durant l'année de formation (01.07.2017 au 30.06.2018)</t>
  </si>
  <si>
    <t>Sur la base des indications fournies, une allocation de formation sous forme de bourse pourrait vous être allouée :</t>
  </si>
  <si>
    <t>Sur la base des indications fournies, une allocation de formation sous forme de prêt pourrait vous être allouée :</t>
  </si>
  <si>
    <t>Sur la base des indications fournies, une allocation de formation sous forme de bourse et de prêt pourrait vous être allouée :</t>
  </si>
  <si>
    <t>Sur la base des indications fournies, aucune aide ne pourrait vous être allouée.</t>
  </si>
  <si>
    <t>a) Les bourses inférieures à 500 francs et les prêts inférieurs à 1'000 francs ne sont pas alloués.
b) Pour les formations tertiaires, lorsque la fortune revalorisée brute des parents est supérieure à 1’000’000 francs, l’aide éventuelle n'est allouée que sous forme de prêt.
c) En cas de calcul partiellement indépendant des parents, aucune allocation n’est allouée lorsque le revenu déterminant des parents est supérieur à 180’000 francs.</t>
  </si>
  <si>
    <t>Pension et logement hors de la famille dans le canton</t>
  </si>
  <si>
    <t>Pension et logement  hors du canton</t>
  </si>
  <si>
    <t>Pensions alimentaires reçues</t>
  </si>
  <si>
    <t>Rentes de la personne en formation (Orphelin, AI/AVS, …)</t>
  </si>
  <si>
    <t>Parents divorcés/séparés/jamais mariés ensemble et droit de garde au père (contribution d'entretien versée par la mère)</t>
  </si>
  <si>
    <t>Fortune - Total des actifs</t>
  </si>
  <si>
    <t>Bâtiment privés sur la commune de domicile</t>
  </si>
  <si>
    <t>Bâtiment privés sur d'autres communes</t>
  </si>
  <si>
    <t>Dette - Total des dettes et de la déduction forfaitaire</t>
  </si>
  <si>
    <t>Pillier 3a  - Contribuable</t>
  </si>
  <si>
    <t>Pillier 3a  - Conjoint</t>
  </si>
  <si>
    <t>Immeuble en Valais</t>
  </si>
  <si>
    <t>Immeuble sis dans un autre canton</t>
  </si>
  <si>
    <t>Immeuble sis à l'étranger</t>
  </si>
  <si>
    <t>Pensions alimentaires versées</t>
  </si>
  <si>
    <t>Prestations en capital - Contribuable</t>
  </si>
  <si>
    <t>Prestations en capital - Conjoint</t>
  </si>
  <si>
    <t>(2400)</t>
  </si>
  <si>
    <t>(3500)</t>
  </si>
  <si>
    <t>(2920)</t>
  </si>
  <si>
    <t>(2922)</t>
  </si>
  <si>
    <t>(4000)</t>
  </si>
  <si>
    <t>(2210)</t>
  </si>
  <si>
    <t>(2220)</t>
  </si>
  <si>
    <t>(1110)</t>
  </si>
  <si>
    <t>(1120)</t>
  </si>
  <si>
    <t>(1130)</t>
  </si>
  <si>
    <t>(2531)</t>
  </si>
  <si>
    <t>(1010)</t>
  </si>
  <si>
    <t>(1020)</t>
  </si>
  <si>
    <t>Rubrique</t>
  </si>
  <si>
    <t>Description</t>
  </si>
  <si>
    <t xml:space="preserve">Nombre de parents </t>
  </si>
  <si>
    <t xml:space="preserve">Nombre d'enfants en âge préscolaire ou en âge de scolarité obligatoire </t>
  </si>
  <si>
    <t xml:space="preserve">Nombre de frères et soeurs vivant chez l'autre parent 
(pas de contribution versée par les parents aux enfants) </t>
  </si>
  <si>
    <t>FR</t>
  </si>
  <si>
    <t>DE</t>
  </si>
  <si>
    <t>Fortune nette de la personne en formation (Taxation 2016 - rubrique 3500)</t>
  </si>
  <si>
    <t>Parents</t>
  </si>
  <si>
    <t/>
  </si>
  <si>
    <t>Montant de la bourse :</t>
  </si>
  <si>
    <t>Schuljahr</t>
  </si>
  <si>
    <t>Art der geplanten Ausbildung</t>
  </si>
  <si>
    <t>Art der Schule</t>
  </si>
  <si>
    <t xml:space="preserve">Private Schule </t>
  </si>
  <si>
    <t>Öffentliche Schule</t>
  </si>
  <si>
    <t>Schulkosten</t>
  </si>
  <si>
    <t xml:space="preserve">Kinder des Antragstellers </t>
  </si>
  <si>
    <t>In dieses Feld dürfen nur Ziffern eingetragen werden.</t>
  </si>
  <si>
    <t>Name</t>
  </si>
  <si>
    <t>Vorname</t>
  </si>
  <si>
    <t>Anerkannte Kosten</t>
  </si>
  <si>
    <t>aaa</t>
  </si>
  <si>
    <t>Partielle Unabhängigkeit von den Eltern</t>
  </si>
  <si>
    <t>Bruttoeinkommen</t>
  </si>
  <si>
    <t>Persönliches Einkommen</t>
  </si>
  <si>
    <t>Bruttoeinkommen nach Abzug der Franchise</t>
  </si>
  <si>
    <t>Unterhaltsbeiträge</t>
  </si>
  <si>
    <t xml:space="preserve">Bruttoeinkommen Ehepartners </t>
  </si>
  <si>
    <t>Revenu brut du conjoint de la personne en formation</t>
  </si>
  <si>
    <t>Revenu brut de la personne en formation</t>
  </si>
  <si>
    <t>Bruttoeinkommen der Person in Ausbildung</t>
  </si>
  <si>
    <t>Renten der Person in Ausbildung (AHV-, IV-, Waisenrenten)</t>
  </si>
  <si>
    <t>Einkommen während des Schuljahres (01.07.2017 bis 30.06.2018)</t>
  </si>
  <si>
    <t>Aktuelle familiäre Situation der Eltern</t>
  </si>
  <si>
    <t>Familiäre Situation der Eltern</t>
  </si>
  <si>
    <t>Ist Ihre Mutter wiederverheiratet ?</t>
  </si>
  <si>
    <t>Ist Ihr Vater wiederverheiratet ?</t>
  </si>
  <si>
    <t>Berechnung des massgebenden Einkommens der Eltern</t>
  </si>
  <si>
    <t>Nettoeinkommen</t>
  </si>
  <si>
    <t>Vermögne - Total Aktiven</t>
  </si>
  <si>
    <t>Private Gebäude in der Wohngemeinde</t>
  </si>
  <si>
    <t>Private Gebäude ausserhalb der Wohngemeinde</t>
  </si>
  <si>
    <t>Total Abzüge</t>
  </si>
  <si>
    <t>Säule 3a - Steuerpflichtiger</t>
  </si>
  <si>
    <t>Säule 3a - Ehefrau</t>
  </si>
  <si>
    <t>Liegenschaften im Wallis</t>
  </si>
  <si>
    <t>Liegenschaften gelegen in einem anderen Schweizer Kanton</t>
  </si>
  <si>
    <t>Liegenschaften gelegen im Ausland</t>
  </si>
  <si>
    <t>Bezahlte Unterhaltsbeiträge</t>
  </si>
  <si>
    <t>Kapitalleistungen bezogen - Steuerpflichtiger</t>
  </si>
  <si>
    <t>Kapitalleistungen bezogen - Ehefrau</t>
  </si>
  <si>
    <t>Massgebendes Einkommen der Eltern</t>
  </si>
  <si>
    <t>Anzahl der unterhaltspflichtigen Kindern</t>
  </si>
  <si>
    <t>Anzahl Kinder in post-obligatorischer Ausbildung</t>
  </si>
  <si>
    <t>Anzahl der Personen im Haushalt</t>
  </si>
  <si>
    <t>Anzahl Eltern</t>
  </si>
  <si>
    <t>Montant du prêt :</t>
  </si>
  <si>
    <t>Nein</t>
  </si>
  <si>
    <t>Ja</t>
  </si>
  <si>
    <t xml:space="preserve">Besuch einer OS-Klasse in einer anderen Sprachregion oder einer Sport-Kunst-Ausbildungsstruktur </t>
  </si>
  <si>
    <t xml:space="preserve">Vorbereitende Schule (Schule für Berufsvorbereitung, ...) </t>
  </si>
  <si>
    <t xml:space="preserve">Berufslehre </t>
  </si>
  <si>
    <t>Tertiäre Ausbildung</t>
  </si>
  <si>
    <t xml:space="preserve">Fernstudium (Tertiärstufe) </t>
  </si>
  <si>
    <t>Berufsbegleitende Weiterbildungen</t>
  </si>
  <si>
    <t>Unterkunft und Verpflegung ausserhalb der Familie im Kanton</t>
  </si>
  <si>
    <t xml:space="preserve">Geschieden </t>
  </si>
  <si>
    <t>Verwitwet</t>
  </si>
  <si>
    <t>Parents mariés ensemble (ou veuf/veuve)</t>
  </si>
  <si>
    <t>2 parents décédés</t>
  </si>
  <si>
    <t>Mère</t>
  </si>
  <si>
    <t>Père</t>
  </si>
  <si>
    <t>Eltern</t>
  </si>
  <si>
    <t>Mutter</t>
  </si>
  <si>
    <t>Vater</t>
  </si>
  <si>
    <t>Nombre de personnes dans le ménage.
Les personnes qui doivent être prise en compte sont :
- Les parents (incl. les beaux-parents)
- Les enfants mineurs
- Les enfants majeurs en formation post-obligatoire, y compris ceux qui ont leur propre domicile légal.
Veuillez faire attention à ne pas oublier de vous inclure dans le nombre d'enfants en formation !
Par conséquent, les enfants majeurs qui ne sont pas en formation ne doivent pas être mentionnés.
Le nombre de personnes est à compléter uniquement dans les colonnes dont l'entête n'est pas vide.
a) Lorsque les parents sont mariés ensemble, une seule colonne doit être complétée.
b) Lorsque les parents sont divorcés/séparés/jamais mariés ensemble, et qu'une contribution d'entretien est versée par l'un des parents à la personne en formation, seule la colonne du parent qui ne verse pas de contribution doit être complétée.
c) Lorsque les parents sont divorcés/séparés/jamais mariés ensemble, et qu'aucune contribution d'entretien n'est versée, les colonnes des 2 parents doivent être complétées. Dans ce cas, les frères et soeurs (enfants en commun de vos parents, vous y compris) doivent être mentionnés chez l'un des parents dans les "'Enfants en âge préscolaire ou en âge de scolarité obligatoire " ou dans les "Enfants en formation post-obligatoire" et chez l'autre dans les "Frères et soeurs vivant chez l'autre parent".</t>
  </si>
  <si>
    <t xml:space="preserve">Nombre d'enfants en formation post obligatoire </t>
  </si>
  <si>
    <t>Orphelin de père et de mère (Célibataire)</t>
  </si>
  <si>
    <t xml:space="preserve"> Vollwaise (Ledig)</t>
  </si>
  <si>
    <r>
      <t xml:space="preserve">Vous devez remplir les 3 critères suivants avant le début de votre formation  pour être considéré comme indépendant des parents :
- Âge &gt; 25 ans révolus
- 1ère formation donnant accès à un métier terminée
- Indépendance financière pendant au moins 2 ans (revenu annuel &gt; 30'000.-)
</t>
    </r>
    <r>
      <rPr>
        <i/>
        <sz val="10"/>
        <color theme="1"/>
        <rFont val="Calibri"/>
        <family val="2"/>
        <scheme val="minor"/>
      </rPr>
      <t xml:space="preserve"> !! Seule l’administration compétente pourra déterminer si l’indépendance partielle est effective ou non</t>
    </r>
  </si>
  <si>
    <r>
      <t xml:space="preserve">Vervollständigen Sie bitte die nachfolgenden Kriterien gemäss den vor Beginn Ihrer Ausbildung geltenden Angaben:
- Alter &gt; abgeschlossenes 25. Altersjahr
- Erstausbildung, die Zugang zum Arbeitsmarkt bietet
-  Finanzielle Unabhängigkeit während mindestens 2 Jahren
</t>
    </r>
    <r>
      <rPr>
        <i/>
        <sz val="10"/>
        <color theme="1"/>
        <rFont val="Calibri"/>
        <family val="2"/>
        <scheme val="minor"/>
      </rPr>
      <t xml:space="preserve"> !! Die zuständige Behörde legt fest, ob eine partielle Unabhängigkeit vorliegt oder nicht</t>
    </r>
  </si>
  <si>
    <t>Les données fiscales sont à compléter sur la base de la taxation 2015 de vos parents
Seules les colonnes dont l'entête n'est pas vide doivent être complétées !
Vous trouvez entre parenthèses la rubrique de la taxation (ex: 2400)
Dans le cas de perfectionnement en emploi, il n'est pas utile de saisir les données fiscales des parents.</t>
  </si>
  <si>
    <r>
      <rPr>
        <b/>
        <sz val="11"/>
        <color rgb="FFFF0000"/>
        <rFont val="Calibri"/>
        <family val="2"/>
        <scheme val="minor"/>
      </rPr>
      <t>Ce calcul des bourses et/ou prêt s d’études vous est présenté à titre indicatif !</t>
    </r>
    <r>
      <rPr>
        <sz val="11"/>
        <color theme="1"/>
        <rFont val="Calibri"/>
        <family val="2"/>
        <scheme val="minor"/>
      </rPr>
      <t xml:space="preserve">
Il n'engage en aucun cas l'Administration cantonale, ni la Commission des bourses et prêts d'études, car les bourses et prêts d’études sont calculés par l'autorité compétente sur la base des documents à fournir par le requérant, notamment la taxation définitive des parents, les gains du requérant, le nombre d’enfants à charge et en formation, etc...</t>
    </r>
  </si>
  <si>
    <r>
      <rPr>
        <b/>
        <sz val="11"/>
        <color theme="1"/>
        <rFont val="Calibri"/>
        <family val="2"/>
        <scheme val="minor"/>
      </rPr>
      <t xml:space="preserve">Herzlich willkommen beim Online-Rechner des Kantons Wallis! 
</t>
    </r>
    <r>
      <rPr>
        <sz val="11"/>
        <color theme="1"/>
        <rFont val="Calibri"/>
        <family val="2"/>
        <scheme val="minor"/>
      </rPr>
      <t xml:space="preserve">Dieses Tool zur Berechnung Ihres Stipendien- oder Darlehensanspruchs wird Ihnen von der Sektion Stipendien und Ausbildungsdarlehen zur Verfügung gestellt.
</t>
    </r>
    <r>
      <rPr>
        <b/>
        <sz val="11"/>
        <color rgb="FFFF0000"/>
        <rFont val="Calibri"/>
        <family val="2"/>
        <scheme val="minor"/>
      </rPr>
      <t>Bitte beachten Sie, dass das errechnete Ergebnis unverbindlich ist und lediglich als Anhaltspunkt dient.
Da sich die zuständige Behörde bei der Berechnung der Stipendien und Ausbildungsdarlehen auf die vom Antragsteller eingereichten Dokumente (wie Steuerverfügung der Eltern, Einkommen des Antragstellers, Anzahl unterhaltsberechtigter oder sich in Ausbildung befindlicher Kinder) stützt, hat das Ergebnis des Online-Rechners weder für die Kantonsverwaltung noch für die Kommission für Ausbildungsbeiträge eine Verpflichtung zur Folge.</t>
    </r>
    <r>
      <rPr>
        <sz val="11"/>
        <color theme="1"/>
        <rFont val="Calibri"/>
        <family val="2"/>
        <scheme val="minor"/>
      </rPr>
      <t xml:space="preserve">
Das Resultat ist eine Schätzung, die sich auf die von Ihnen gemachten Angaben stützt. Ihre persönliche Situation kann vom Online-Rechner leider nicht berücksichtigt werden.
Um die Berechnung durchzuführen, benötigen Sie die Steuerveranlagung Ihrer Eltern sowie das Einkommen, das Sie während des Schuljahrs allenfalls erarbeitet haben. Die Angaben sind jeweils für ein Ausbildungsjahr anzugeben.
Auch kompliziertere Fälle, wie die Aufteilung von Kindern bei getrennt lebenden Eltern mit gemeinsamem Sorgerecht oder die Bestimmung einer teilweisen Unabhängigkeit von den elterlichen Leistungen, können vom Rechner bearbeitet werden. Eine unkorrekte Auslegung dieser Informationen Ihrerseits kann zu einem falschen Ergebnis führen.
Auf Anfrage teilt Ihnen die Sektion Stipendien und Ausbildungsdarlehen gerne die weiteren Bedingungen für die Gewährung eines Stipendiums (Anerkennung der Ausbildung, Anerkennung der Bildungseinrichtung, Zuständigkeit des Kantons, ...) mit.</t>
    </r>
  </si>
  <si>
    <t>Ausbildung und Kostenkategorie</t>
  </si>
  <si>
    <t>Kostenkategorie</t>
  </si>
  <si>
    <t>Nombre de semestres durant l'année de formation</t>
  </si>
  <si>
    <t>Anzahl Semester während dem Ausbildungsjahr</t>
  </si>
  <si>
    <t>Nur ausfüllen, wenn es sich um eine berufsbegleitende Weiterbildung handelt (alle mit dem Kurs verbundenen Kosten einschliessen) oder die Ausbildung von einer Privatschule angeboten wird (nur Schulgeld).</t>
  </si>
  <si>
    <t>Situation der Person in Ausbildung</t>
  </si>
  <si>
    <t>Status</t>
  </si>
  <si>
    <t>Berechnung der persönlichen Ressourcen</t>
  </si>
  <si>
    <t>Bei den Steuerangaben benötigen Sie die Steuerveranlagung 2015 Ihrer Eltern. 
Es müssen nur die Spalten mit einer Überschrift ausgefüllt werden.
Die entsprechende Rubrik finden Sie in der Klammer (z.B. 2400).
Falls Sie eine berufsbegleitende Weiterbildung absolvieren, benötigen Sie die Steuerangaben Ihrer Eltern nicht.</t>
  </si>
  <si>
    <t>Beschreibung</t>
  </si>
  <si>
    <t>Zusammensetzung der Familie nach Haushalt</t>
  </si>
  <si>
    <t xml:space="preserve">Anzahl im Haushalt lebende Personen
Es müssen folgende Personen berücksichtigt werden:
- Eltern (inkl. Schwiegereltern)
- minderjährige Kinder
- volljährige Kinder in Ausbildung, auch wenn diese einen eigenen Wohnsitz haben
Vergessen Sie nicht, sich selbst in die Zahl der Kinder in Ausbildung miteinzuschliessen!
Volljährige Kinder, die nicht in Ausbildung sind, müssen nicht erwähnt werden.
Die Zahl der Personen muss nur in die Spalten mit einer Überschrift eingetragen werden.
a) Bei miteinander verheirateten Eltern muss nur eine Spalte ausgefüllt werden.
b) Sind die Eltern getrennt/geschieden/nicht miteinander verheiratet und zahlt ein Elternteil Unterhaltsbeiträge für die Person in Ausbildung, muss nur die Spalte für jenen Elternteil ausgefüllt werden, der keinen Beitrag zahlt.
c) Sind die Eltern getrennt/geschieden/nicht miteinander verheiratet ohne dass ein Unterhaltsbeitrag gezahlt wird, müssen die Spalten für beide Elternteile ausgefüllt werden. In diesem Fall tragen Sie die Anzahl Kinder (gemeinsame Kinder Ihrer Eltern, Sie eingeschlossen) bei einem Elternteil unter «Kinder im Vorschul- oder Schulalter» bzw. «Kinder in postobligatorischer Ausbildung» ein und halten diese Zahl beim anderen Elternteil unter «beim anderen Elternteil lebende Geschwister» fest.
</t>
  </si>
  <si>
    <t xml:space="preserve">Anzahl beim anderen Elternteil lebende Geschwister (keine Unterhaltszahlungen durch die Eltern) </t>
  </si>
  <si>
    <t>Betrag der finanziellen Hilfe</t>
  </si>
  <si>
    <t>Betrag des Stipendiums:</t>
  </si>
  <si>
    <t>Betrag des Darlehens:</t>
  </si>
  <si>
    <t xml:space="preserve">Bemerkungen: </t>
  </si>
  <si>
    <t xml:space="preserve">a) Stipendien unter 500 Franken und Darlehen unter 1'000 Franken werden nicht gewährt.
b) Bei tertiären Ausbildungen gilt: Beträgt das aufgewertete Bruttovermögen der Eltern über 1'000'000 Franken, wird eine allfällige Hilfe nur in Form eines Darlehens gewährt.
c) Bei einer von den elterlichen Leistungen partiell unabhängigen Berechnung wird kein Beitrag gewährt, wenn sich das massgebende Einkommen der Eltern auf über 180'000 Franken beläuft.
</t>
  </si>
  <si>
    <r>
      <rPr>
        <b/>
        <sz val="11"/>
        <color rgb="FFFF0000"/>
        <rFont val="Calibri"/>
        <family val="2"/>
        <scheme val="minor"/>
      </rPr>
      <t>Bitte beachten Sie, dass das errechnete Ergebnis unverbindlich ist und lediglich als Anhaltspunkt dient.</t>
    </r>
    <r>
      <rPr>
        <sz val="11"/>
        <rFont val="Calibri"/>
        <family val="2"/>
        <scheme val="minor"/>
      </rPr>
      <t xml:space="preserve">
Da sich die zuständige Behörde bei der Berechnung der Stipendien und Ausbildungsdarlehen auf die vom Antragsteller eingereichten Dokumente (wie Steuerverfügung der Eltern, Einkommen des Antragstellers, Anzahl unterhaltsberechtigter oder sich in Ausbildung befindlicher Kinder) stützt, hat das Ergebnis des Online-Rechners weder für die Kantonsverwaltung noch für die Kommission für Ausbildungsbeiträge eine Verpflichtung zur Folge.
</t>
    </r>
  </si>
  <si>
    <t>Miteinander verheiratete Eltern (oder verwitwet)</t>
  </si>
  <si>
    <t>Nicht miteinander verheiratete/getrennte/geschiedene Eltern mit Obhut bei der Mutter (Vater zahlt Unterhaltsbeitrag)</t>
  </si>
  <si>
    <t>Nicht miteinander verheiratete/getrennte/geschiedene Eltern mit Obhut beim Vater (Mutter zahlt Unterhaltsbeitrag)</t>
  </si>
  <si>
    <t>Nicht miteinander verheiratete/getrennte/geschiedene Eltern mit alternierender Obhut (Eltern zahlen keine Unterhaltsbeiträge)</t>
  </si>
  <si>
    <t>Beide Elternteile verstorben</t>
  </si>
  <si>
    <t>Gestützt auf die von Ihnen gemachten Angaben, kann Ihnen ein Ausbildungsbeitrag in Form eines Stipendiums gewährt werden:</t>
  </si>
  <si>
    <t>Gestützt auf die von Ihnen gemachten Angaben, kann Ihnen ein Ausbildungsbeitrag in Form eines Darlehens gewährt werden:</t>
  </si>
  <si>
    <t>Gestützt auf die von Ihnen gemachten Angaben, kann Ihnen ein Ausbildungsbeitrag in kombinierter Form eines Stipendiums und eines Darlehens gewährt werden:</t>
  </si>
  <si>
    <t>Gestützt auf die von Ihnen gemachten Angaben, kann Ihnen keine Ausbildungshilfe gewährt werden.</t>
  </si>
  <si>
    <t xml:space="preserve"> - Dans les cellules vertes, vous devez saisir du texte.
 - In die grünen Felder geben Sie bitte einen Text ein.</t>
  </si>
  <si>
    <t>Rubrik</t>
  </si>
  <si>
    <t>Nettovermögen (Rubrik 3500)</t>
  </si>
  <si>
    <t>Veuillez compléter toutes les cellules de couleurs grises, oranges et vertes ci-dessous !
 - Dans les cellules en gris, vous devez sélectionner une des valeurs présentes.
 - Dans les cellules oranges, vous devez saisir des nombres entiers.</t>
  </si>
  <si>
    <t>Vervollständigen Sie bitte alle nachfolgenden Felder in grau, orange und grün.
 - Bei den grauen Feldern wählen Sie bitte eine Option aus.
 - In die orangen Felder geben Sie bitte eine ganze Zahl ein.</t>
  </si>
  <si>
    <t xml:space="preserve">Mittelschulausbildung (Kollegium, FMS, HMS, ...) </t>
  </si>
  <si>
    <t>Bemerkungen: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</si>
</sst>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000\ 000"/>
    <numFmt numFmtId="166" formatCode="#,##0_ ;\-#,##0\ "/>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13"/>
      <color theme="1"/>
      <name val="Calibri"/>
      <family val="2"/>
      <scheme val="minor"/>
    </font>
    <font>
      <sz val="11"/>
      <color theme="3"/>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9"/>
      <color theme="1"/>
      <name val="Calibri"/>
      <family val="2"/>
      <scheme val="minor"/>
    </font>
    <font>
      <b/>
      <u/>
      <sz val="11"/>
      <color theme="1"/>
      <name val="Calibri"/>
      <family val="2"/>
      <scheme val="minor"/>
    </font>
    <font>
      <i/>
      <sz val="10"/>
      <color theme="1"/>
      <name val="Calibri"/>
      <family val="2"/>
      <scheme val="minor"/>
    </font>
    <font>
      <b/>
      <sz val="14"/>
      <color theme="1"/>
      <name val="Calibri"/>
      <family val="2"/>
      <scheme val="minor"/>
    </font>
    <font>
      <i/>
      <sz val="9"/>
      <color theme="1"/>
      <name val="Calibri"/>
      <family val="2"/>
      <scheme val="minor"/>
    </font>
    <font>
      <sz val="11"/>
      <name val="Calibri"/>
      <family val="2"/>
      <scheme val="minor"/>
    </font>
    <font>
      <b/>
      <u/>
      <sz val="11"/>
      <name val="Calibri"/>
      <family val="2"/>
      <scheme val="minor"/>
    </font>
    <font>
      <b/>
      <sz val="11"/>
      <name val="Calibri"/>
      <family val="2"/>
      <scheme val="minor"/>
    </font>
    <font>
      <sz val="9"/>
      <name val="Calibri"/>
      <family val="2"/>
      <scheme val="minor"/>
    </font>
    <font>
      <i/>
      <sz val="9"/>
      <name val="Calibri"/>
      <family val="2"/>
      <scheme val="minor"/>
    </font>
    <font>
      <sz val="11"/>
      <color rgb="FF000000"/>
      <name val="Calibri"/>
      <family val="2"/>
      <scheme val="minor"/>
    </font>
    <font>
      <b/>
      <sz val="14"/>
      <name val="Calibri"/>
      <family val="2"/>
      <scheme val="minor"/>
    </font>
    <font>
      <i/>
      <sz val="11"/>
      <name val="Calibri"/>
      <family val="2"/>
      <scheme val="minor"/>
    </font>
    <font>
      <sz val="11"/>
      <color rgb="FFFF0000"/>
      <name val="Calibri"/>
      <family val="2"/>
      <scheme val="minor"/>
    </font>
    <font>
      <b/>
      <sz val="11"/>
      <color rgb="FFFF0000"/>
      <name val="Calibri"/>
      <family val="2"/>
      <scheme val="minor"/>
    </font>
    <font>
      <b/>
      <sz val="9"/>
      <color rgb="FFFF0000"/>
      <name val="Calibri"/>
      <family val="2"/>
      <scheme val="minor"/>
    </font>
    <font>
      <sz val="10"/>
      <name val="Calibri"/>
      <family val="2"/>
      <scheme val="minor"/>
    </font>
    <font>
      <b/>
      <i/>
      <sz val="11"/>
      <color theme="1"/>
      <name val="Calibri"/>
      <family val="2"/>
      <scheme val="minor"/>
    </font>
    <font>
      <sz val="11"/>
      <color theme="3" tint="0.39997558519241921"/>
      <name val="Calibri"/>
      <family val="2"/>
      <scheme val="minor"/>
    </font>
    <font>
      <b/>
      <sz val="11"/>
      <color theme="3" tint="0.39997558519241921"/>
      <name val="Calibri"/>
      <family val="2"/>
      <scheme val="minor"/>
    </font>
    <font>
      <sz val="8"/>
      <color theme="3"/>
      <name val="Calibri"/>
      <family val="2"/>
      <scheme val="minor"/>
    </font>
    <font>
      <b/>
      <sz val="12"/>
      <name val="Calibri"/>
      <family val="2"/>
      <scheme val="minor"/>
    </font>
    <font>
      <sz val="12"/>
      <name val="Calibri"/>
      <family val="2"/>
      <scheme val="minor"/>
    </font>
    <font>
      <sz val="8"/>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i/>
      <sz val="11"/>
      <color rgb="FFFF0000"/>
      <name val="Calibri"/>
      <family val="2"/>
      <scheme val="minor"/>
    </font>
    <font>
      <b/>
      <i/>
      <u/>
      <sz val="11"/>
      <color theme="1"/>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9BBB59"/>
        <bgColor indexed="64"/>
      </patternFill>
    </fill>
    <fill>
      <patternFill patternType="solid">
        <fgColor rgb="FFCDDDAC"/>
        <bgColor indexed="64"/>
      </patternFill>
    </fill>
    <fill>
      <patternFill patternType="solid">
        <fgColor rgb="FFE6EED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bottom/>
      <diagonal/>
    </border>
    <border>
      <left/>
      <right style="medium">
        <color rgb="FFFFFFFF"/>
      </right>
      <top/>
      <bottom style="medium">
        <color rgb="FFFFFFFF"/>
      </bottom>
      <diagonal/>
    </border>
    <border>
      <left style="medium">
        <color rgb="FFFFFFFF"/>
      </left>
      <right style="thick">
        <color rgb="FFFFFFFF"/>
      </right>
      <top style="medium">
        <color rgb="FFFFFFFF"/>
      </top>
      <bottom/>
      <diagonal/>
    </border>
    <border>
      <left/>
      <right/>
      <top style="thin">
        <color indexed="64"/>
      </top>
      <bottom style="double">
        <color indexed="64"/>
      </bottom>
      <diagonal/>
    </border>
    <border>
      <left style="medium">
        <color rgb="FFFFFFFF"/>
      </left>
      <right style="thick">
        <color rgb="FFFFFFFF"/>
      </right>
      <top/>
      <bottom style="medium">
        <color rgb="FFFFFFFF"/>
      </bottom>
      <diagonal/>
    </border>
    <border>
      <left style="medium">
        <color rgb="FFFFFFFF"/>
      </left>
      <right style="thick">
        <color rgb="FFFFFFFF"/>
      </right>
      <top style="medium">
        <color rgb="FFFFFFFF"/>
      </top>
      <bottom style="medium">
        <color rgb="FFFFFFFF"/>
      </bottom>
      <diagonal/>
    </border>
    <border>
      <left/>
      <right style="medium">
        <color rgb="FFFFFFFF"/>
      </right>
      <top/>
      <bottom style="thick">
        <color rgb="FFFFFFFF"/>
      </bottom>
      <diagonal/>
    </border>
    <border>
      <left/>
      <right/>
      <top/>
      <bottom style="thick">
        <color rgb="FFFFFFFF"/>
      </bottom>
      <diagonal/>
    </border>
    <border>
      <left/>
      <right style="thick">
        <color rgb="FFFFFFFF"/>
      </right>
      <top style="medium">
        <color rgb="FFFFFFFF"/>
      </top>
      <bottom/>
      <diagonal/>
    </border>
    <border>
      <left/>
      <right/>
      <top/>
      <bottom style="medium">
        <color rgb="FFFFFFFF"/>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23">
    <xf numFmtId="0" fontId="0" fillId="0" borderId="0" xfId="0"/>
    <xf numFmtId="0" fontId="2" fillId="2" borderId="0" xfId="0" applyFont="1" applyFill="1"/>
    <xf numFmtId="0" fontId="3" fillId="2" borderId="0" xfId="0" applyFont="1" applyFill="1"/>
    <xf numFmtId="0" fontId="2" fillId="0" borderId="0" xfId="0" applyFont="1"/>
    <xf numFmtId="0" fontId="4" fillId="0" borderId="0" xfId="0" applyFont="1"/>
    <xf numFmtId="0" fontId="6" fillId="0" borderId="3" xfId="0" applyFont="1" applyBorder="1" applyAlignment="1">
      <alignment horizontal="center"/>
    </xf>
    <xf numFmtId="0" fontId="0" fillId="4" borderId="4" xfId="0" applyFill="1" applyBorder="1"/>
    <xf numFmtId="0" fontId="0" fillId="4" borderId="5" xfId="0" applyFill="1" applyBorder="1"/>
    <xf numFmtId="0" fontId="0" fillId="0" borderId="0" xfId="0" applyAlignment="1">
      <alignment horizontal="center"/>
    </xf>
    <xf numFmtId="0" fontId="0" fillId="4" borderId="6" xfId="0" applyFill="1" applyBorder="1"/>
    <xf numFmtId="0" fontId="0" fillId="4" borderId="7" xfId="0" applyFill="1" applyBorder="1"/>
    <xf numFmtId="0" fontId="0" fillId="0" borderId="0" xfId="0" applyBorder="1" applyAlignment="1">
      <alignment horizontal="center"/>
    </xf>
    <xf numFmtId="0" fontId="0" fillId="0" borderId="9" xfId="0" applyBorder="1" applyAlignment="1"/>
    <xf numFmtId="0" fontId="0" fillId="4" borderId="8" xfId="0" applyFill="1" applyBorder="1"/>
    <xf numFmtId="0" fontId="0" fillId="4" borderId="10" xfId="0" applyFill="1" applyBorder="1"/>
    <xf numFmtId="0" fontId="0" fillId="0" borderId="1" xfId="0" applyBorder="1"/>
    <xf numFmtId="0" fontId="0" fillId="0" borderId="11" xfId="0" applyBorder="1"/>
    <xf numFmtId="3" fontId="0" fillId="0" borderId="11" xfId="0" applyNumberFormat="1" applyBorder="1"/>
    <xf numFmtId="0" fontId="0" fillId="0" borderId="5" xfId="0" applyBorder="1"/>
    <xf numFmtId="0" fontId="0" fillId="0" borderId="4" xfId="0" applyBorder="1"/>
    <xf numFmtId="0" fontId="0" fillId="0" borderId="12" xfId="0" applyBorder="1"/>
    <xf numFmtId="3" fontId="0" fillId="0" borderId="12" xfId="0" applyNumberFormat="1" applyBorder="1"/>
    <xf numFmtId="3" fontId="0" fillId="0" borderId="0" xfId="0" applyNumberFormat="1"/>
    <xf numFmtId="0" fontId="0" fillId="0" borderId="7" xfId="0" applyBorder="1"/>
    <xf numFmtId="0" fontId="0" fillId="0" borderId="6" xfId="0" applyBorder="1"/>
    <xf numFmtId="0" fontId="0" fillId="0" borderId="0" xfId="0" applyBorder="1"/>
    <xf numFmtId="3" fontId="0" fillId="0" borderId="0" xfId="0" applyNumberFormat="1" applyBorder="1"/>
    <xf numFmtId="0" fontId="0" fillId="0" borderId="6" xfId="0" applyBorder="1" applyAlignment="1">
      <alignment horizontal="centerContinuous"/>
    </xf>
    <xf numFmtId="0" fontId="0" fillId="0" borderId="0" xfId="0" applyBorder="1" applyAlignment="1">
      <alignment horizontal="centerContinuous"/>
    </xf>
    <xf numFmtId="0" fontId="7" fillId="0" borderId="0" xfId="0" applyFont="1"/>
    <xf numFmtId="0" fontId="2" fillId="0" borderId="0" xfId="0" applyFont="1" applyBorder="1"/>
    <xf numFmtId="0" fontId="8" fillId="5" borderId="14" xfId="0" applyFont="1" applyFill="1" applyBorder="1" applyAlignment="1">
      <alignment vertical="center"/>
    </xf>
    <xf numFmtId="0" fontId="8" fillId="5" borderId="15" xfId="0" applyFont="1" applyFill="1" applyBorder="1" applyAlignment="1">
      <alignment vertical="center"/>
    </xf>
    <xf numFmtId="0" fontId="8" fillId="5" borderId="16" xfId="0" applyFont="1" applyFill="1" applyBorder="1" applyAlignment="1">
      <alignment vertical="center"/>
    </xf>
    <xf numFmtId="0" fontId="9" fillId="6" borderId="17" xfId="0" applyFont="1" applyFill="1" applyBorder="1" applyAlignment="1">
      <alignment vertical="center"/>
    </xf>
    <xf numFmtId="164" fontId="0" fillId="3" borderId="0" xfId="1" applyNumberFormat="1" applyFont="1" applyFill="1"/>
    <xf numFmtId="0" fontId="8" fillId="5" borderId="18" xfId="0" applyFont="1" applyFill="1" applyBorder="1" applyAlignment="1">
      <alignment vertical="center"/>
    </xf>
    <xf numFmtId="0" fontId="9" fillId="7" borderId="17" xfId="0" applyFont="1" applyFill="1" applyBorder="1" applyAlignment="1">
      <alignment vertical="center"/>
    </xf>
    <xf numFmtId="164" fontId="0" fillId="0" borderId="0" xfId="1" applyNumberFormat="1" applyFont="1"/>
    <xf numFmtId="0" fontId="8" fillId="5" borderId="20" xfId="0" applyFont="1" applyFill="1" applyBorder="1" applyAlignment="1">
      <alignment vertical="center"/>
    </xf>
    <xf numFmtId="9" fontId="0" fillId="0" borderId="0" xfId="0" applyNumberFormat="1"/>
    <xf numFmtId="0" fontId="10" fillId="0" borderId="0" xfId="0" applyFont="1" applyAlignment="1">
      <alignment horizontal="center"/>
    </xf>
    <xf numFmtId="164" fontId="0" fillId="0" borderId="0" xfId="1" applyNumberFormat="1" applyFont="1" applyAlignment="1">
      <alignment horizontal="center"/>
    </xf>
    <xf numFmtId="0" fontId="8" fillId="5" borderId="21" xfId="0" applyFont="1" applyFill="1" applyBorder="1" applyAlignment="1">
      <alignment vertical="center"/>
    </xf>
    <xf numFmtId="0" fontId="2" fillId="0" borderId="0" xfId="0" applyFont="1" applyFill="1"/>
    <xf numFmtId="164" fontId="2" fillId="0" borderId="0" xfId="1" applyNumberFormat="1" applyFont="1" applyFill="1"/>
    <xf numFmtId="0" fontId="0" fillId="2" borderId="0" xfId="0" applyFill="1"/>
    <xf numFmtId="0" fontId="4" fillId="2" borderId="0" xfId="0" applyFont="1" applyFill="1"/>
    <xf numFmtId="0" fontId="0" fillId="0" borderId="9" xfId="0" applyBorder="1"/>
    <xf numFmtId="0" fontId="0" fillId="5" borderId="18" xfId="0" applyFill="1" applyBorder="1" applyAlignment="1">
      <alignment vertical="top"/>
    </xf>
    <xf numFmtId="0" fontId="0" fillId="7" borderId="17" xfId="0" applyFill="1" applyBorder="1" applyAlignment="1">
      <alignment vertical="top"/>
    </xf>
    <xf numFmtId="0" fontId="0" fillId="6" borderId="17" xfId="0" applyFill="1" applyBorder="1" applyAlignment="1">
      <alignment vertical="top"/>
    </xf>
    <xf numFmtId="0" fontId="8" fillId="5" borderId="0" xfId="0" applyFont="1" applyFill="1" applyBorder="1" applyAlignment="1">
      <alignment vertical="center"/>
    </xf>
    <xf numFmtId="0" fontId="9" fillId="7" borderId="0" xfId="0" applyFont="1" applyFill="1" applyBorder="1" applyAlignment="1">
      <alignment vertical="center"/>
    </xf>
    <xf numFmtId="43" fontId="4" fillId="0" borderId="0" xfId="1" applyFont="1"/>
    <xf numFmtId="164" fontId="0" fillId="0" borderId="0" xfId="0" applyNumberFormat="1"/>
    <xf numFmtId="0" fontId="0" fillId="0" borderId="0" xfId="0" quotePrefix="1"/>
    <xf numFmtId="0" fontId="0" fillId="0" borderId="19" xfId="0" applyBorder="1"/>
    <xf numFmtId="0" fontId="2" fillId="0" borderId="1" xfId="0" applyFont="1" applyBorder="1" applyAlignment="1">
      <alignment horizontal="centerContinuous"/>
    </xf>
    <xf numFmtId="0" fontId="0" fillId="0" borderId="2" xfId="0" applyBorder="1" applyAlignment="1">
      <alignment horizontal="centerContinuous"/>
    </xf>
    <xf numFmtId="0" fontId="0" fillId="3" borderId="0" xfId="0" applyFill="1"/>
    <xf numFmtId="0" fontId="8" fillId="5" borderId="22" xfId="0" applyFont="1" applyFill="1" applyBorder="1" applyAlignment="1">
      <alignment horizontal="center" vertical="center"/>
    </xf>
    <xf numFmtId="0" fontId="8"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6" borderId="25" xfId="0" applyFont="1" applyFill="1" applyBorder="1" applyAlignment="1">
      <alignment horizontal="center" vertical="center"/>
    </xf>
    <xf numFmtId="0" fontId="0" fillId="5" borderId="24" xfId="0" applyFont="1" applyFill="1" applyBorder="1" applyAlignment="1">
      <alignment horizontal="center" vertical="top"/>
    </xf>
    <xf numFmtId="0" fontId="0" fillId="7" borderId="25" xfId="0" applyFill="1" applyBorder="1" applyAlignment="1">
      <alignment horizontal="center" vertical="top"/>
    </xf>
    <xf numFmtId="0" fontId="0" fillId="6" borderId="25" xfId="0" applyFill="1" applyBorder="1" applyAlignment="1">
      <alignment horizontal="center" vertical="top"/>
    </xf>
    <xf numFmtId="0" fontId="0" fillId="0" borderId="0" xfId="0" applyFill="1"/>
    <xf numFmtId="164" fontId="0" fillId="0" borderId="0" xfId="1" applyNumberFormat="1" applyFont="1" applyFill="1"/>
    <xf numFmtId="0" fontId="0" fillId="0" borderId="0" xfId="0" applyAlignment="1">
      <alignment horizontal="right"/>
    </xf>
    <xf numFmtId="164" fontId="0" fillId="0" borderId="6" xfId="1" applyNumberFormat="1" applyFont="1" applyBorder="1"/>
    <xf numFmtId="10" fontId="0" fillId="0" borderId="0" xfId="0" applyNumberFormat="1"/>
    <xf numFmtId="0" fontId="11" fillId="0" borderId="0" xfId="0" applyFont="1" applyAlignment="1">
      <alignment horizontal="center"/>
    </xf>
    <xf numFmtId="0" fontId="12" fillId="0" borderId="0" xfId="0" applyFont="1"/>
    <xf numFmtId="0" fontId="11" fillId="8" borderId="0" xfId="0" applyFont="1" applyFill="1" applyAlignment="1">
      <alignment horizontal="center"/>
    </xf>
    <xf numFmtId="0" fontId="0" fillId="0" borderId="11" xfId="0" quotePrefix="1" applyBorder="1"/>
    <xf numFmtId="0" fontId="13" fillId="0" borderId="12" xfId="0" applyFont="1" applyBorder="1"/>
    <xf numFmtId="0" fontId="13" fillId="0" borderId="0" xfId="0" applyFont="1"/>
    <xf numFmtId="0" fontId="13" fillId="0" borderId="0" xfId="0" applyFont="1" applyBorder="1"/>
    <xf numFmtId="0" fontId="13" fillId="0" borderId="11" xfId="0" applyFont="1" applyBorder="1"/>
    <xf numFmtId="0" fontId="2" fillId="0" borderId="19" xfId="0" applyFont="1" applyBorder="1"/>
    <xf numFmtId="0" fontId="0" fillId="0" borderId="0" xfId="0" applyFill="1" applyBorder="1"/>
    <xf numFmtId="0" fontId="0" fillId="0" borderId="27" xfId="0" applyBorder="1"/>
    <xf numFmtId="0" fontId="11" fillId="0" borderId="0" xfId="0" applyFont="1" applyFill="1" applyAlignment="1">
      <alignment horizontal="center"/>
    </xf>
    <xf numFmtId="0" fontId="0" fillId="0" borderId="0" xfId="0" applyFont="1"/>
    <xf numFmtId="0" fontId="0" fillId="0" borderId="0" xfId="0" quotePrefix="1" applyBorder="1"/>
    <xf numFmtId="0" fontId="0" fillId="0" borderId="0" xfId="0" quotePrefix="1" applyFont="1"/>
    <xf numFmtId="164" fontId="2" fillId="0" borderId="0" xfId="1" applyNumberFormat="1" applyFont="1" applyFill="1" applyAlignment="1"/>
    <xf numFmtId="0" fontId="0" fillId="0" borderId="0" xfId="0" applyAlignment="1">
      <alignment horizontal="left"/>
    </xf>
    <xf numFmtId="0" fontId="2" fillId="0" borderId="0" xfId="0" applyFont="1" applyAlignment="1">
      <alignment horizontal="left"/>
    </xf>
    <xf numFmtId="165" fontId="2" fillId="9" borderId="0" xfId="0" applyNumberFormat="1" applyFont="1" applyFill="1" applyAlignment="1">
      <alignment horizontal="left"/>
    </xf>
    <xf numFmtId="0" fontId="2" fillId="9" borderId="0" xfId="0" applyFont="1" applyFill="1" applyAlignment="1">
      <alignment horizontal="left"/>
    </xf>
    <xf numFmtId="0" fontId="14" fillId="3" borderId="0" xfId="0" applyFont="1" applyFill="1"/>
    <xf numFmtId="3" fontId="13" fillId="0" borderId="12" xfId="0" applyNumberFormat="1" applyFont="1" applyBorder="1"/>
    <xf numFmtId="3" fontId="13" fillId="0" borderId="0" xfId="0" applyNumberFormat="1" applyFont="1" applyBorder="1"/>
    <xf numFmtId="3" fontId="0" fillId="0" borderId="9" xfId="0" applyNumberFormat="1" applyBorder="1"/>
    <xf numFmtId="3" fontId="2" fillId="0" borderId="27" xfId="0" applyNumberFormat="1" applyFont="1" applyBorder="1"/>
    <xf numFmtId="3" fontId="2" fillId="0" borderId="0" xfId="0" applyNumberFormat="1" applyFont="1" applyBorder="1"/>
    <xf numFmtId="166" fontId="0" fillId="0" borderId="0" xfId="0" applyNumberFormat="1"/>
    <xf numFmtId="3" fontId="2" fillId="0" borderId="19" xfId="0" applyNumberFormat="1" applyFont="1" applyBorder="1"/>
    <xf numFmtId="3" fontId="0" fillId="0" borderId="28" xfId="0" applyNumberFormat="1" applyFont="1" applyBorder="1"/>
    <xf numFmtId="3" fontId="0" fillId="0" borderId="0" xfId="1" applyNumberFormat="1" applyFont="1"/>
    <xf numFmtId="3" fontId="0" fillId="0" borderId="0" xfId="1" applyNumberFormat="1" applyFont="1" applyFill="1"/>
    <xf numFmtId="3" fontId="2" fillId="0" borderId="0" xfId="0" applyNumberFormat="1" applyFont="1" applyFill="1" applyBorder="1"/>
    <xf numFmtId="3" fontId="0" fillId="0" borderId="0" xfId="0" applyNumberFormat="1" applyFill="1" applyBorder="1"/>
    <xf numFmtId="3" fontId="13" fillId="0" borderId="0" xfId="0" applyNumberFormat="1" applyFont="1" applyFill="1" applyBorder="1"/>
    <xf numFmtId="3" fontId="0" fillId="0" borderId="0" xfId="0" applyNumberFormat="1" applyFill="1"/>
    <xf numFmtId="166" fontId="0" fillId="0" borderId="0" xfId="0" applyNumberFormat="1" applyFill="1"/>
    <xf numFmtId="0" fontId="2" fillId="0" borderId="0" xfId="0" applyFont="1" applyFill="1" applyBorder="1"/>
    <xf numFmtId="0" fontId="0" fillId="0" borderId="0" xfId="0" applyFont="1" applyAlignment="1">
      <alignment horizontal="left"/>
    </xf>
    <xf numFmtId="3" fontId="2" fillId="9" borderId="19" xfId="0" applyNumberFormat="1" applyFont="1" applyFill="1" applyBorder="1"/>
    <xf numFmtId="3" fontId="2" fillId="9" borderId="0" xfId="0" applyNumberFormat="1" applyFont="1" applyFill="1" applyBorder="1"/>
    <xf numFmtId="3" fontId="2" fillId="9" borderId="27" xfId="0" applyNumberFormat="1" applyFont="1" applyFill="1" applyBorder="1"/>
    <xf numFmtId="164" fontId="0" fillId="9" borderId="0" xfId="1" applyNumberFormat="1" applyFont="1" applyFill="1"/>
    <xf numFmtId="164" fontId="2" fillId="9" borderId="0" xfId="1" applyNumberFormat="1" applyFont="1" applyFill="1" applyAlignment="1"/>
    <xf numFmtId="3" fontId="0" fillId="9" borderId="0" xfId="0" applyNumberFormat="1" applyFill="1"/>
    <xf numFmtId="0" fontId="0" fillId="9" borderId="0" xfId="0" applyFill="1"/>
    <xf numFmtId="0" fontId="11" fillId="3" borderId="0" xfId="0" applyFont="1" applyFill="1" applyAlignment="1">
      <alignment horizontal="center"/>
    </xf>
    <xf numFmtId="0" fontId="11" fillId="3" borderId="0" xfId="0" applyFont="1" applyFill="1" applyAlignment="1">
      <alignment horizontal="center" vertical="center"/>
    </xf>
    <xf numFmtId="0" fontId="3" fillId="0" borderId="0" xfId="0" applyFont="1" applyFill="1"/>
    <xf numFmtId="165" fontId="2" fillId="3" borderId="0" xfId="0" applyNumberFormat="1" applyFont="1" applyFill="1" applyAlignment="1">
      <alignment horizontal="center"/>
    </xf>
    <xf numFmtId="0" fontId="4" fillId="0" borderId="0" xfId="0" applyFont="1" applyFill="1"/>
    <xf numFmtId="0" fontId="16" fillId="0" borderId="9" xfId="0" applyFont="1" applyBorder="1" applyAlignment="1">
      <alignment horizontal="right"/>
    </xf>
    <xf numFmtId="0" fontId="16" fillId="0" borderId="0" xfId="0" applyFont="1"/>
    <xf numFmtId="0" fontId="17" fillId="0" borderId="0" xfId="0" applyFont="1"/>
    <xf numFmtId="0" fontId="16" fillId="0" borderId="11" xfId="0" applyFont="1" applyBorder="1"/>
    <xf numFmtId="0" fontId="16" fillId="0" borderId="0" xfId="0" applyFont="1" applyAlignment="1">
      <alignment horizontal="left"/>
    </xf>
    <xf numFmtId="0" fontId="16" fillId="0" borderId="0" xfId="0" applyFont="1" applyAlignment="1">
      <alignment horizontal="right"/>
    </xf>
    <xf numFmtId="0" fontId="0" fillId="0" borderId="0" xfId="0" applyAlignment="1">
      <alignment horizontal="right" vertical="center"/>
    </xf>
    <xf numFmtId="14" fontId="0" fillId="0" borderId="0" xfId="0" applyNumberFormat="1" applyAlignment="1">
      <alignment horizontal="left" vertical="center"/>
    </xf>
    <xf numFmtId="0" fontId="0" fillId="3" borderId="0" xfId="0" applyFont="1" applyFill="1" applyAlignment="1">
      <alignment horizontal="left"/>
    </xf>
    <xf numFmtId="0" fontId="21" fillId="5" borderId="24" xfId="0" applyFont="1" applyFill="1" applyBorder="1" applyAlignment="1">
      <alignment horizontal="center" vertical="center"/>
    </xf>
    <xf numFmtId="0" fontId="22" fillId="3" borderId="0" xfId="0" applyFont="1" applyFill="1"/>
    <xf numFmtId="0" fontId="18" fillId="0" borderId="0" xfId="0" applyFont="1"/>
    <xf numFmtId="0" fontId="23" fillId="0" borderId="0" xfId="0" applyFont="1" applyAlignment="1">
      <alignment horizontal="left" vertical="top" wrapText="1"/>
    </xf>
    <xf numFmtId="0" fontId="16" fillId="0" borderId="0" xfId="0" applyFont="1" applyBorder="1" applyAlignment="1">
      <alignment horizontal="right"/>
    </xf>
    <xf numFmtId="164" fontId="2" fillId="0" borderId="19" xfId="1" applyNumberFormat="1" applyFont="1" applyBorder="1"/>
    <xf numFmtId="0" fontId="24" fillId="0" borderId="0" xfId="0" applyFont="1"/>
    <xf numFmtId="0" fontId="25" fillId="0" borderId="0" xfId="0" applyFont="1"/>
    <xf numFmtId="14" fontId="0" fillId="4" borderId="5" xfId="0" applyNumberFormat="1" applyFill="1" applyBorder="1" applyAlignment="1">
      <alignment horizontal="left"/>
    </xf>
    <xf numFmtId="0" fontId="0" fillId="4" borderId="10" xfId="0" applyFill="1" applyBorder="1" applyAlignment="1">
      <alignment horizontal="left"/>
    </xf>
    <xf numFmtId="0" fontId="19" fillId="3" borderId="0" xfId="0" applyFont="1" applyFill="1" applyAlignment="1">
      <alignment horizontal="center"/>
    </xf>
    <xf numFmtId="0" fontId="27" fillId="0" borderId="0" xfId="0" applyFont="1"/>
    <xf numFmtId="0" fontId="9" fillId="6" borderId="0" xfId="0" applyFont="1" applyFill="1" applyBorder="1" applyAlignment="1">
      <alignment vertical="center"/>
    </xf>
    <xf numFmtId="0" fontId="11" fillId="0" borderId="0" xfId="0" applyFont="1" applyFill="1" applyBorder="1" applyAlignment="1">
      <alignment horizontal="center"/>
    </xf>
    <xf numFmtId="0" fontId="26" fillId="0" borderId="0" xfId="0" applyFont="1" applyFill="1" applyAlignment="1">
      <alignment horizontal="center"/>
    </xf>
    <xf numFmtId="164" fontId="0" fillId="0" borderId="0" xfId="1" applyNumberFormat="1" applyFont="1" applyAlignment="1">
      <alignment horizontal="right"/>
    </xf>
    <xf numFmtId="0" fontId="7" fillId="0" borderId="0" xfId="0" applyFont="1" applyAlignment="1">
      <alignment horizontal="right"/>
    </xf>
    <xf numFmtId="3" fontId="2" fillId="0" borderId="0" xfId="0" applyNumberFormat="1" applyFont="1"/>
    <xf numFmtId="3" fontId="7" fillId="0" borderId="0" xfId="0" applyNumberFormat="1" applyFont="1"/>
    <xf numFmtId="0" fontId="7" fillId="0" borderId="0" xfId="0" applyFont="1" applyAlignment="1">
      <alignment horizontal="left" vertical="top" wrapText="1"/>
    </xf>
    <xf numFmtId="0" fontId="6" fillId="0" borderId="13" xfId="0" applyFont="1" applyBorder="1" applyAlignment="1">
      <alignment horizontal="center"/>
    </xf>
    <xf numFmtId="0" fontId="6" fillId="0" borderId="0" xfId="0" applyFont="1" applyBorder="1" applyAlignment="1">
      <alignment horizontal="center"/>
    </xf>
    <xf numFmtId="0" fontId="16" fillId="0" borderId="0" xfId="0" applyFont="1" applyFill="1"/>
    <xf numFmtId="0" fontId="23" fillId="0" borderId="0" xfId="0" applyFont="1" applyFill="1" applyAlignment="1">
      <alignment horizontal="left" vertical="top" wrapText="1"/>
    </xf>
    <xf numFmtId="0" fontId="7" fillId="0" borderId="0" xfId="0" applyFont="1" applyFill="1" applyAlignment="1">
      <alignment horizontal="left" vertical="top" wrapText="1"/>
    </xf>
    <xf numFmtId="0" fontId="0" fillId="4" borderId="0" xfId="0" applyFill="1" applyBorder="1"/>
    <xf numFmtId="164" fontId="2" fillId="0" borderId="0" xfId="1" applyNumberFormat="1" applyFont="1" applyFill="1" applyBorder="1"/>
    <xf numFmtId="0" fontId="2" fillId="11" borderId="0" xfId="0" applyFont="1" applyFill="1"/>
    <xf numFmtId="0" fontId="0" fillId="13" borderId="0" xfId="0" applyFill="1" applyBorder="1" applyAlignment="1">
      <alignment horizontal="right"/>
    </xf>
    <xf numFmtId="0" fontId="0" fillId="13" borderId="6" xfId="0" applyFill="1" applyBorder="1" applyAlignment="1">
      <alignment horizontal="right"/>
    </xf>
    <xf numFmtId="37" fontId="2" fillId="11" borderId="0" xfId="1" applyNumberFormat="1" applyFont="1" applyFill="1" applyAlignment="1">
      <alignment horizontal="right"/>
    </xf>
    <xf numFmtId="166" fontId="2" fillId="11" borderId="0" xfId="1" applyNumberFormat="1" applyFont="1" applyFill="1"/>
    <xf numFmtId="166" fontId="2" fillId="11" borderId="0" xfId="1" applyNumberFormat="1" applyFont="1" applyFill="1" applyBorder="1"/>
    <xf numFmtId="3" fontId="0" fillId="0" borderId="9" xfId="1" applyNumberFormat="1" applyFont="1" applyBorder="1"/>
    <xf numFmtId="3" fontId="0" fillId="0" borderId="8" xfId="1" applyNumberFormat="1" applyFont="1" applyBorder="1"/>
    <xf numFmtId="3" fontId="0" fillId="0" borderId="6" xfId="0" applyNumberFormat="1" applyBorder="1"/>
    <xf numFmtId="3" fontId="0" fillId="0" borderId="6" xfId="1" applyNumberFormat="1" applyFont="1" applyBorder="1"/>
    <xf numFmtId="3" fontId="0" fillId="0" borderId="19" xfId="1" applyNumberFormat="1" applyFont="1" applyBorder="1"/>
    <xf numFmtId="3" fontId="0" fillId="0" borderId="26" xfId="1" applyNumberFormat="1" applyFont="1" applyBorder="1"/>
    <xf numFmtId="166" fontId="2" fillId="11" borderId="6" xfId="1" applyNumberFormat="1" applyFont="1" applyFill="1" applyBorder="1"/>
    <xf numFmtId="3" fontId="0" fillId="13" borderId="19" xfId="0" applyNumberFormat="1" applyFill="1" applyBorder="1"/>
    <xf numFmtId="3" fontId="0" fillId="13" borderId="26" xfId="0" applyNumberFormat="1" applyFill="1" applyBorder="1"/>
    <xf numFmtId="166" fontId="0" fillId="0" borderId="0" xfId="1" applyNumberFormat="1" applyFont="1"/>
    <xf numFmtId="166" fontId="0" fillId="0" borderId="6" xfId="1" applyNumberFormat="1" applyFont="1" applyBorder="1"/>
    <xf numFmtId="166" fontId="0" fillId="0" borderId="19" xfId="1" applyNumberFormat="1" applyFont="1" applyBorder="1"/>
    <xf numFmtId="166" fontId="0" fillId="0" borderId="26" xfId="1" applyNumberFormat="1" applyFont="1" applyBorder="1"/>
    <xf numFmtId="166" fontId="2" fillId="13" borderId="19" xfId="1" applyNumberFormat="1" applyFont="1" applyFill="1" applyBorder="1"/>
    <xf numFmtId="166" fontId="2" fillId="13" borderId="26" xfId="1" applyNumberFormat="1" applyFont="1" applyFill="1" applyBorder="1"/>
    <xf numFmtId="0" fontId="0" fillId="0" borderId="29" xfId="0" applyFill="1" applyBorder="1" applyProtection="1">
      <protection locked="0"/>
    </xf>
    <xf numFmtId="0" fontId="0" fillId="4" borderId="31" xfId="0" applyFill="1" applyBorder="1"/>
    <xf numFmtId="0" fontId="0" fillId="4" borderId="32" xfId="0" applyFill="1" applyBorder="1"/>
    <xf numFmtId="0" fontId="0" fillId="4" borderId="30" xfId="0" applyFill="1" applyBorder="1"/>
    <xf numFmtId="0" fontId="0" fillId="4" borderId="5" xfId="0" applyFill="1" applyBorder="1" applyAlignment="1">
      <alignment horizontal="left"/>
    </xf>
    <xf numFmtId="0" fontId="29" fillId="0" borderId="0" xfId="0" applyFont="1"/>
    <xf numFmtId="0" fontId="30" fillId="0" borderId="0" xfId="0" applyFont="1" applyBorder="1"/>
    <xf numFmtId="0" fontId="29" fillId="0" borderId="0" xfId="0" applyFont="1" applyAlignment="1">
      <alignment horizontal="center"/>
    </xf>
    <xf numFmtId="164" fontId="29" fillId="0" borderId="0" xfId="1" applyNumberFormat="1" applyFont="1" applyAlignment="1">
      <alignment horizontal="center"/>
    </xf>
    <xf numFmtId="0" fontId="29" fillId="0" borderId="0" xfId="0" applyFont="1" applyFill="1"/>
    <xf numFmtId="9" fontId="29" fillId="0" borderId="0" xfId="0" applyNumberFormat="1" applyFont="1"/>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2" fillId="0" borderId="0" xfId="0" applyFont="1" applyAlignment="1">
      <alignment vertical="top" wrapText="1"/>
    </xf>
    <xf numFmtId="0" fontId="16" fillId="0" borderId="0" xfId="0" applyFont="1" applyFill="1" applyAlignment="1">
      <alignment vertical="top"/>
    </xf>
    <xf numFmtId="0" fontId="29" fillId="0" borderId="0" xfId="0" applyFont="1" applyAlignment="1">
      <alignment wrapText="1"/>
    </xf>
    <xf numFmtId="0" fontId="29" fillId="0" borderId="0" xfId="0" applyFont="1" applyAlignment="1"/>
    <xf numFmtId="0" fontId="31" fillId="0" borderId="3" xfId="0" applyFont="1" applyBorder="1" applyAlignment="1">
      <alignment horizontal="center"/>
    </xf>
    <xf numFmtId="0" fontId="0" fillId="0" borderId="9" xfId="0" applyFill="1" applyBorder="1"/>
    <xf numFmtId="0" fontId="0" fillId="0" borderId="8" xfId="0" applyBorder="1" applyAlignment="1">
      <alignment horizontal="right"/>
    </xf>
    <xf numFmtId="0" fontId="32" fillId="8" borderId="42" xfId="0" applyFont="1" applyFill="1" applyBorder="1"/>
    <xf numFmtId="0" fontId="32" fillId="8" borderId="0" xfId="0" applyFont="1" applyFill="1" applyBorder="1"/>
    <xf numFmtId="0" fontId="32" fillId="8" borderId="0" xfId="0" applyFont="1" applyFill="1" applyBorder="1" applyProtection="1"/>
    <xf numFmtId="0" fontId="33" fillId="8" borderId="43" xfId="0" applyFont="1" applyFill="1" applyBorder="1"/>
    <xf numFmtId="0" fontId="32" fillId="8" borderId="0" xfId="0" applyFont="1" applyFill="1" applyBorder="1" applyAlignment="1">
      <alignment horizontal="left"/>
    </xf>
    <xf numFmtId="164" fontId="32" fillId="8" borderId="0" xfId="0" applyNumberFormat="1" applyFont="1" applyFill="1" applyBorder="1"/>
    <xf numFmtId="0" fontId="16" fillId="8" borderId="39" xfId="0" applyFont="1" applyFill="1" applyBorder="1"/>
    <xf numFmtId="0" fontId="16" fillId="8" borderId="40" xfId="0" applyFont="1" applyFill="1" applyBorder="1"/>
    <xf numFmtId="0" fontId="16" fillId="8" borderId="40" xfId="0" applyFont="1" applyFill="1" applyBorder="1" applyProtection="1"/>
    <xf numFmtId="0" fontId="34" fillId="8" borderId="41" xfId="0" applyFont="1" applyFill="1" applyBorder="1"/>
    <xf numFmtId="0" fontId="33" fillId="8" borderId="44" xfId="0" applyFont="1" applyFill="1" applyBorder="1"/>
    <xf numFmtId="0" fontId="33" fillId="8" borderId="45" xfId="0" applyFont="1" applyFill="1" applyBorder="1" applyAlignment="1">
      <alignment horizontal="left"/>
    </xf>
    <xf numFmtId="0" fontId="33" fillId="8" borderId="45" xfId="0" applyFont="1" applyFill="1" applyBorder="1"/>
    <xf numFmtId="164" fontId="33" fillId="8" borderId="45" xfId="0" applyNumberFormat="1" applyFont="1" applyFill="1" applyBorder="1" applyProtection="1"/>
    <xf numFmtId="0" fontId="33" fillId="8" borderId="46" xfId="0" applyFont="1" applyFill="1" applyBorder="1"/>
    <xf numFmtId="0" fontId="18"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vertical="top" wrapText="1"/>
    </xf>
    <xf numFmtId="0" fontId="0" fillId="14" borderId="0" xfId="0" applyFill="1" applyAlignment="1">
      <alignment horizontal="left" vertical="top" wrapText="1"/>
    </xf>
    <xf numFmtId="0" fontId="0" fillId="14" borderId="0" xfId="0" applyFill="1"/>
    <xf numFmtId="0" fontId="4" fillId="14" borderId="0" xfId="0" applyFont="1" applyFill="1"/>
    <xf numFmtId="0" fontId="2" fillId="14" borderId="0" xfId="0" applyFont="1" applyFill="1"/>
    <xf numFmtId="0" fontId="3" fillId="14" borderId="0" xfId="0" applyFont="1" applyFill="1"/>
    <xf numFmtId="0" fontId="23" fillId="14" borderId="0" xfId="0" applyFont="1" applyFill="1" applyAlignment="1">
      <alignment vertical="top" wrapText="1"/>
    </xf>
    <xf numFmtId="0" fontId="7" fillId="14" borderId="0" xfId="0" applyFont="1" applyFill="1" applyAlignment="1">
      <alignment horizontal="right"/>
    </xf>
    <xf numFmtId="164" fontId="0" fillId="14" borderId="0" xfId="1" applyNumberFormat="1" applyFont="1" applyFill="1" applyAlignment="1">
      <alignment horizontal="right"/>
    </xf>
    <xf numFmtId="0" fontId="7" fillId="14" borderId="0" xfId="0" applyFont="1" applyFill="1" applyAlignment="1">
      <alignment horizontal="left" vertical="top" wrapText="1"/>
    </xf>
    <xf numFmtId="0" fontId="0" fillId="14" borderId="0" xfId="0" applyFont="1" applyFill="1"/>
    <xf numFmtId="9" fontId="2" fillId="14" borderId="0" xfId="0" applyNumberFormat="1" applyFont="1" applyFill="1"/>
    <xf numFmtId="0" fontId="16" fillId="14" borderId="0" xfId="0" applyFont="1" applyFill="1"/>
    <xf numFmtId="43" fontId="4" fillId="14" borderId="0" xfId="1" applyFont="1" applyFill="1"/>
    <xf numFmtId="164" fontId="0" fillId="14" borderId="0" xfId="0" applyNumberFormat="1" applyFill="1"/>
    <xf numFmtId="0" fontId="0" fillId="14" borderId="0" xfId="0" applyFill="1" applyAlignment="1">
      <alignment horizontal="left"/>
    </xf>
    <xf numFmtId="3" fontId="0" fillId="14" borderId="0" xfId="1" applyNumberFormat="1" applyFont="1" applyFill="1"/>
    <xf numFmtId="164" fontId="0" fillId="14" borderId="0" xfId="1" applyNumberFormat="1" applyFont="1" applyFill="1"/>
    <xf numFmtId="3" fontId="0" fillId="14" borderId="19" xfId="1" applyNumberFormat="1" applyFont="1" applyFill="1" applyBorder="1"/>
    <xf numFmtId="43" fontId="0" fillId="14" borderId="0" xfId="1" applyNumberFormat="1" applyFont="1" applyFill="1" applyBorder="1"/>
    <xf numFmtId="0" fontId="0" fillId="14" borderId="0" xfId="0" applyFill="1" applyBorder="1"/>
    <xf numFmtId="0" fontId="0" fillId="14" borderId="0" xfId="0" applyFill="1" applyAlignment="1">
      <alignment horizontal="right"/>
    </xf>
    <xf numFmtId="10" fontId="0" fillId="14" borderId="0" xfId="0" applyNumberFormat="1" applyFill="1" applyAlignment="1">
      <alignment wrapText="1"/>
    </xf>
    <xf numFmtId="10" fontId="0" fillId="14" borderId="0" xfId="0" applyNumberFormat="1" applyFill="1"/>
    <xf numFmtId="0" fontId="0" fillId="14" borderId="0" xfId="0" applyFill="1" applyProtection="1">
      <protection locked="0"/>
    </xf>
    <xf numFmtId="0" fontId="0" fillId="14" borderId="0" xfId="0" applyFill="1" applyProtection="1"/>
    <xf numFmtId="164" fontId="0" fillId="14" borderId="0" xfId="0" applyNumberFormat="1" applyFill="1" applyProtection="1">
      <protection locked="0"/>
    </xf>
    <xf numFmtId="0" fontId="24" fillId="14" borderId="0" xfId="0" applyFont="1" applyFill="1"/>
    <xf numFmtId="0" fontId="14" fillId="11" borderId="1" xfId="0" applyFont="1" applyFill="1" applyBorder="1"/>
    <xf numFmtId="0" fontId="14" fillId="11" borderId="11" xfId="0" applyFont="1" applyFill="1" applyBorder="1"/>
    <xf numFmtId="0" fontId="37" fillId="11" borderId="11" xfId="0" applyFont="1" applyFill="1" applyBorder="1" applyAlignment="1">
      <alignment horizontal="left" vertical="top" wrapText="1"/>
    </xf>
    <xf numFmtId="0" fontId="14" fillId="11" borderId="2" xfId="0" applyFont="1" applyFill="1" applyBorder="1" applyAlignment="1">
      <alignment horizontal="right" vertical="top" wrapText="1"/>
    </xf>
    <xf numFmtId="0" fontId="14" fillId="11" borderId="0" xfId="0" applyFont="1" applyFill="1"/>
    <xf numFmtId="0" fontId="37" fillId="11" borderId="0" xfId="0" applyFont="1" applyFill="1"/>
    <xf numFmtId="0" fontId="35" fillId="14" borderId="0" xfId="0" applyFont="1" applyFill="1"/>
    <xf numFmtId="166" fontId="36" fillId="12" borderId="13" xfId="1" applyNumberFormat="1" applyFont="1" applyFill="1" applyBorder="1" applyAlignment="1" applyProtection="1">
      <alignment horizontal="right"/>
      <protection locked="0"/>
    </xf>
    <xf numFmtId="166" fontId="36" fillId="12" borderId="13" xfId="1" applyNumberFormat="1" applyFont="1" applyFill="1" applyBorder="1" applyProtection="1">
      <protection locked="0"/>
    </xf>
    <xf numFmtId="0" fontId="35" fillId="3" borderId="13" xfId="0" applyFont="1" applyFill="1" applyBorder="1" applyProtection="1">
      <protection locked="0"/>
    </xf>
    <xf numFmtId="0" fontId="36" fillId="14" borderId="0" xfId="0" applyFont="1" applyFill="1"/>
    <xf numFmtId="164" fontId="36" fillId="0" borderId="19" xfId="1" applyNumberFormat="1" applyFont="1" applyBorder="1"/>
    <xf numFmtId="164" fontId="36" fillId="0" borderId="0" xfId="1" applyNumberFormat="1" applyFont="1"/>
    <xf numFmtId="164" fontId="36" fillId="0" borderId="0" xfId="1" applyNumberFormat="1" applyFont="1" applyFill="1"/>
    <xf numFmtId="164" fontId="35" fillId="0" borderId="0" xfId="1" applyNumberFormat="1" applyFont="1" applyFill="1"/>
    <xf numFmtId="166" fontId="35" fillId="11" borderId="0" xfId="1" applyNumberFormat="1" applyFont="1" applyFill="1"/>
    <xf numFmtId="0" fontId="36" fillId="0" borderId="0" xfId="0" applyFont="1"/>
    <xf numFmtId="0" fontId="35" fillId="2" borderId="26" xfId="0" applyFont="1" applyFill="1" applyBorder="1" applyAlignment="1">
      <alignment horizontal="left"/>
    </xf>
    <xf numFmtId="0" fontId="35" fillId="2" borderId="19" xfId="0" applyFont="1" applyFill="1" applyBorder="1" applyAlignment="1">
      <alignment horizontal="center"/>
    </xf>
    <xf numFmtId="0" fontId="35" fillId="2" borderId="33" xfId="0" applyFont="1" applyFill="1" applyBorder="1" applyAlignment="1">
      <alignment horizontal="center"/>
    </xf>
    <xf numFmtId="3" fontId="36" fillId="12" borderId="30" xfId="1" applyNumberFormat="1" applyFont="1" applyFill="1" applyBorder="1" applyProtection="1">
      <protection locked="0"/>
    </xf>
    <xf numFmtId="3" fontId="36" fillId="12" borderId="30" xfId="1" applyNumberFormat="1" applyFont="1" applyFill="1" applyBorder="1" applyProtection="1"/>
    <xf numFmtId="3" fontId="36" fillId="12" borderId="13" xfId="1" applyNumberFormat="1" applyFont="1" applyFill="1" applyBorder="1" applyProtection="1">
      <protection locked="0"/>
    </xf>
    <xf numFmtId="3" fontId="36" fillId="12" borderId="13" xfId="1" applyNumberFormat="1" applyFont="1" applyFill="1" applyBorder="1" applyProtection="1"/>
    <xf numFmtId="3" fontId="36" fillId="0" borderId="9" xfId="1" applyNumberFormat="1" applyFont="1" applyBorder="1"/>
    <xf numFmtId="3" fontId="36" fillId="0" borderId="8" xfId="1" applyNumberFormat="1" applyFont="1" applyBorder="1"/>
    <xf numFmtId="3" fontId="36" fillId="0" borderId="0" xfId="1" applyNumberFormat="1" applyFont="1" applyFill="1" applyBorder="1"/>
    <xf numFmtId="3" fontId="36" fillId="0" borderId="6" xfId="1" applyNumberFormat="1" applyFont="1" applyFill="1" applyBorder="1"/>
    <xf numFmtId="3" fontId="36" fillId="0" borderId="10" xfId="1" applyNumberFormat="1" applyFont="1" applyBorder="1"/>
    <xf numFmtId="0" fontId="36" fillId="14" borderId="0" xfId="0" applyFont="1" applyFill="1" applyAlignment="1">
      <alignment horizontal="left"/>
    </xf>
    <xf numFmtId="3" fontId="36" fillId="12" borderId="30" xfId="0" applyNumberFormat="1" applyFont="1" applyFill="1" applyBorder="1" applyProtection="1">
      <protection locked="0"/>
    </xf>
    <xf numFmtId="3" fontId="36" fillId="12" borderId="30" xfId="0" applyNumberFormat="1" applyFont="1" applyFill="1" applyBorder="1" applyProtection="1"/>
    <xf numFmtId="3" fontId="36" fillId="12" borderId="13" xfId="0" applyNumberFormat="1" applyFont="1" applyFill="1" applyBorder="1" applyProtection="1">
      <protection locked="0"/>
    </xf>
    <xf numFmtId="3" fontId="36" fillId="12" borderId="13" xfId="0" applyNumberFormat="1" applyFont="1" applyFill="1" applyBorder="1" applyProtection="1"/>
    <xf numFmtId="3" fontId="36" fillId="13" borderId="19" xfId="0" applyNumberFormat="1" applyFont="1" applyFill="1" applyBorder="1" applyProtection="1"/>
    <xf numFmtId="3" fontId="36" fillId="13" borderId="26" xfId="0" applyNumberFormat="1" applyFont="1" applyFill="1" applyBorder="1" applyProtection="1"/>
    <xf numFmtId="0" fontId="36" fillId="0" borderId="0" xfId="0" applyFont="1" applyBorder="1" applyProtection="1">
      <protection locked="0"/>
    </xf>
    <xf numFmtId="0" fontId="36" fillId="0" borderId="6" xfId="0" applyFont="1" applyBorder="1" applyProtection="1">
      <protection locked="0"/>
    </xf>
    <xf numFmtId="3" fontId="36" fillId="13" borderId="0" xfId="0" applyNumberFormat="1" applyFont="1" applyFill="1" applyBorder="1"/>
    <xf numFmtId="3" fontId="36" fillId="13" borderId="6" xfId="0" applyNumberFormat="1" applyFont="1" applyFill="1" applyBorder="1"/>
    <xf numFmtId="3" fontId="36" fillId="13" borderId="0" xfId="0" applyNumberFormat="1" applyFont="1" applyFill="1"/>
    <xf numFmtId="0" fontId="36" fillId="14" borderId="6" xfId="0" applyFont="1" applyFill="1" applyBorder="1"/>
    <xf numFmtId="0" fontId="39" fillId="2" borderId="0" xfId="0" applyFont="1" applyFill="1" applyAlignment="1">
      <alignment horizontal="left"/>
    </xf>
    <xf numFmtId="0" fontId="36" fillId="14" borderId="34" xfId="0" applyFont="1" applyFill="1" applyBorder="1" applyAlignment="1">
      <alignment horizontal="left"/>
    </xf>
    <xf numFmtId="0" fontId="36" fillId="14" borderId="34" xfId="0" quotePrefix="1" applyFont="1" applyFill="1" applyBorder="1" applyAlignment="1">
      <alignment horizontal="center"/>
    </xf>
    <xf numFmtId="0" fontId="36" fillId="14" borderId="35" xfId="0" applyFont="1" applyFill="1" applyBorder="1" applyAlignment="1">
      <alignment horizontal="left"/>
    </xf>
    <xf numFmtId="0" fontId="36" fillId="14" borderId="35" xfId="0" quotePrefix="1" applyFont="1" applyFill="1" applyBorder="1" applyAlignment="1">
      <alignment horizontal="center"/>
    </xf>
    <xf numFmtId="0" fontId="36" fillId="14" borderId="36" xfId="0" quotePrefix="1" applyFont="1" applyFill="1" applyBorder="1" applyAlignment="1">
      <alignment horizontal="center"/>
    </xf>
    <xf numFmtId="0" fontId="36" fillId="14" borderId="35" xfId="0" applyFont="1" applyFill="1" applyBorder="1" applyAlignment="1">
      <alignment horizontal="center"/>
    </xf>
    <xf numFmtId="0" fontId="36" fillId="14" borderId="37" xfId="0" applyFont="1" applyFill="1" applyBorder="1" applyAlignment="1">
      <alignment horizontal="left"/>
    </xf>
    <xf numFmtId="0" fontId="36" fillId="14" borderId="38" xfId="0" quotePrefix="1" applyFont="1" applyFill="1" applyBorder="1" applyAlignment="1">
      <alignment horizontal="center"/>
    </xf>
    <xf numFmtId="0" fontId="35" fillId="2" borderId="26" xfId="0" applyFont="1" applyFill="1" applyBorder="1" applyAlignment="1">
      <alignment horizontal="center"/>
    </xf>
    <xf numFmtId="0" fontId="36" fillId="14" borderId="35" xfId="0" applyFont="1" applyFill="1" applyBorder="1" applyAlignment="1">
      <alignment horizontal="left" vertical="top" wrapText="1"/>
    </xf>
    <xf numFmtId="0" fontId="28" fillId="2" borderId="0" xfId="0" applyFont="1" applyFill="1" applyBorder="1" applyAlignment="1">
      <alignment horizontal="left" vertical="top" wrapText="1"/>
    </xf>
    <xf numFmtId="0" fontId="0" fillId="0" borderId="0" xfId="0" applyFill="1" applyBorder="1" applyAlignment="1">
      <alignment horizontal="left" vertical="top" wrapText="1"/>
    </xf>
    <xf numFmtId="0" fontId="38" fillId="2" borderId="0" xfId="0" applyFont="1" applyFill="1" applyBorder="1" applyAlignment="1" applyProtection="1">
      <alignment horizontal="left" vertical="top" wrapText="1"/>
    </xf>
    <xf numFmtId="0" fontId="38" fillId="2" borderId="0" xfId="0" applyFont="1" applyFill="1" applyBorder="1" applyAlignment="1" applyProtection="1">
      <alignment horizontal="left" vertical="top"/>
    </xf>
    <xf numFmtId="0" fontId="28" fillId="2" borderId="0" xfId="0" quotePrefix="1" applyFont="1" applyFill="1" applyBorder="1" applyAlignment="1">
      <alignment horizontal="left" vertical="top" wrapText="1"/>
    </xf>
    <xf numFmtId="0" fontId="28" fillId="2" borderId="0" xfId="0" applyFont="1" applyFill="1" applyBorder="1" applyAlignment="1">
      <alignment horizontal="left" vertical="top"/>
    </xf>
    <xf numFmtId="0" fontId="0" fillId="10" borderId="0" xfId="0" applyFill="1" applyAlignment="1">
      <alignment horizontal="left" vertical="top" wrapText="1"/>
    </xf>
    <xf numFmtId="0" fontId="5" fillId="3" borderId="1"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164" fontId="2" fillId="14" borderId="0" xfId="1" applyNumberFormat="1" applyFont="1" applyFill="1" applyAlignment="1">
      <alignment horizontal="center"/>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35" fillId="3" borderId="1" xfId="0" applyFont="1" applyFill="1" applyBorder="1" applyAlignment="1" applyProtection="1">
      <alignment horizontal="left"/>
      <protection locked="0"/>
    </xf>
    <xf numFmtId="0" fontId="35" fillId="3" borderId="2" xfId="0" applyFont="1" applyFill="1" applyBorder="1" applyAlignment="1" applyProtection="1">
      <alignment horizontal="left"/>
      <protection locked="0"/>
    </xf>
    <xf numFmtId="0" fontId="2" fillId="8" borderId="1" xfId="0" applyFont="1" applyFill="1" applyBorder="1" applyAlignment="1" applyProtection="1">
      <alignment horizontal="left"/>
      <protection locked="0"/>
    </xf>
    <xf numFmtId="0" fontId="2" fillId="8" borderId="2" xfId="0" applyFont="1" applyFill="1" applyBorder="1" applyAlignment="1" applyProtection="1">
      <alignment horizontal="left"/>
      <protection locked="0"/>
    </xf>
    <xf numFmtId="0" fontId="5" fillId="3" borderId="11" xfId="0" applyFont="1" applyFill="1" applyBorder="1" applyAlignment="1" applyProtection="1">
      <alignment horizontal="left" vertical="top" wrapText="1"/>
      <protection locked="0"/>
    </xf>
    <xf numFmtId="0" fontId="32" fillId="8" borderId="42" xfId="0" applyFont="1" applyFill="1" applyBorder="1" applyAlignment="1">
      <alignment horizontal="left" vertical="top" wrapText="1"/>
    </xf>
    <xf numFmtId="0" fontId="32" fillId="8" borderId="0" xfId="0" applyFont="1" applyFill="1" applyBorder="1" applyAlignment="1">
      <alignment horizontal="left" vertical="top" wrapText="1"/>
    </xf>
    <xf numFmtId="0" fontId="32" fillId="8" borderId="43" xfId="0" applyFont="1" applyFill="1" applyBorder="1" applyAlignment="1">
      <alignment horizontal="left" vertical="top" wrapText="1"/>
    </xf>
    <xf numFmtId="0" fontId="11" fillId="3" borderId="0" xfId="0" applyFont="1" applyFill="1" applyAlignment="1">
      <alignment horizontal="center" vertical="center"/>
    </xf>
    <xf numFmtId="0" fontId="23" fillId="0" borderId="0" xfId="0" applyFont="1" applyAlignment="1">
      <alignment horizontal="left" vertical="top" wrapText="1"/>
    </xf>
  </cellXfs>
  <cellStyles count="2">
    <cellStyle name="Milliers" xfId="1" builtinId="3"/>
    <cellStyle name="Normal" xfId="0" builtinId="0"/>
  </cellStyles>
  <dxfs count="18">
    <dxf>
      <font>
        <color theme="0"/>
      </font>
      <fill>
        <patternFill patternType="none">
          <bgColor auto="1"/>
        </patternFill>
      </fill>
      <border>
        <left/>
        <right/>
        <top/>
        <bottom/>
        <vertical/>
        <horizontal/>
      </border>
    </dxf>
    <dxf>
      <numFmt numFmtId="3" formatCode="#,##0"/>
    </dxf>
    <dxf>
      <numFmt numFmtId="3" formatCode="#,##0"/>
    </dxf>
    <dxf>
      <border diagonalUp="0" diagonalDown="0">
        <left style="thin">
          <color indexed="64"/>
        </left>
        <right/>
        <top/>
        <bottom/>
        <vertical/>
        <horizontal/>
      </border>
    </dxf>
    <dxf>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indexed="64"/>
          <bgColor rgb="FF9BBB59"/>
        </patternFill>
      </fill>
      <alignment horizontal="center" vertical="center" textRotation="0" wrapText="0" indent="0" justifyLastLine="0" shrinkToFit="0" readingOrder="0"/>
      <border diagonalUp="0" diagonalDown="0" outline="0">
        <left/>
        <right style="thick">
          <color rgb="FFFFFFFF"/>
        </right>
        <top style="medium">
          <color rgb="FFFFFFFF"/>
        </top>
        <bottom/>
      </border>
    </dxf>
    <dxf>
      <border outline="0">
        <left style="medium">
          <color rgb="FFFFFFFF"/>
        </left>
        <right style="medium">
          <color rgb="FFFFFFFF"/>
        </right>
        <top style="medium">
          <color rgb="FFFFFFFF"/>
        </top>
      </border>
    </dxf>
    <dxf>
      <alignment horizontal="center" textRotation="0" wrapText="0" indent="0" justifyLastLine="0" shrinkToFit="0" readingOrder="0"/>
    </dxf>
    <dxf>
      <border outline="0">
        <bottom style="thick">
          <color rgb="FFFFFFFF"/>
        </bottom>
      </border>
    </dxf>
    <dxf>
      <font>
        <b/>
        <i val="0"/>
        <strike val="0"/>
        <condense val="0"/>
        <extend val="0"/>
        <outline val="0"/>
        <shadow val="0"/>
        <u val="none"/>
        <vertAlign val="baseline"/>
        <sz val="11"/>
        <color rgb="FF000000"/>
        <name val="Calibri"/>
        <scheme val="minor"/>
      </font>
      <fill>
        <patternFill patternType="solid">
          <fgColor indexed="64"/>
          <bgColor rgb="FF9BBB59"/>
        </patternFill>
      </fill>
      <alignment horizontal="center" vertical="center" textRotation="0" wrapText="0" indent="0" justifyLastLine="0" shrinkToFit="0" readingOrder="0"/>
      <border diagonalUp="0" diagonalDown="0" outline="0">
        <left style="medium">
          <color rgb="FFFFFFFF"/>
        </left>
        <right style="medium">
          <color rgb="FFFFFFFF"/>
        </right>
        <top/>
        <bottom/>
      </border>
    </dxf>
    <dxf>
      <fill>
        <patternFill>
          <bgColor theme="6"/>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au2" displayName="Tableau2" ref="N129:O145" totalsRowShown="0" headerRowDxfId="12" dataDxfId="10" headerRowBorderDxfId="11" tableBorderDxfId="9">
  <tableColumns count="2">
    <tableColumn id="1" name="Nbre personne" dataDxfId="8"/>
    <tableColumn id="2" name="Besoins minimaux" dataDxfId="7"/>
  </tableColumns>
  <tableStyleInfo name="TableStyleMedium11" showFirstColumn="0" showLastColumn="0" showRowStripes="1" showColumnStripes="0"/>
</table>
</file>

<file path=xl/tables/table2.xml><?xml version="1.0" encoding="utf-8"?>
<table xmlns="http://schemas.openxmlformats.org/spreadsheetml/2006/main" id="2" name="Tableau4" displayName="Tableau4" ref="N11:O27" headerRowCount="0" totalsRowShown="0">
  <tableColumns count="2">
    <tableColumn id="1" name="Colonne1" dataCellStyle="Normal"/>
    <tableColumn id="2" name="Colonne2" dataCellStyle="Normal"/>
  </tableColumns>
  <tableStyleInfo showFirstColumn="0" showLastColumn="0" showRowStripes="1" showColumnStripes="0"/>
</table>
</file>

<file path=xl/tables/table3.xml><?xml version="1.0" encoding="utf-8"?>
<table xmlns="http://schemas.openxmlformats.org/spreadsheetml/2006/main" id="3" name="Tableau5" displayName="Tableau5" ref="N29:R34" totalsRowShown="0" headerRowDxfId="6" tableBorderDxfId="5">
  <tableColumns count="5">
    <tableColumn id="1" name="Type" dataDxfId="4"/>
    <tableColumn id="2" name="Repas domicile" dataDxfId="3"/>
    <tableColumn id="3" name="Repas hors domicile"/>
    <tableColumn id="4" name="Logement VS" dataDxfId="2"/>
    <tableColumn id="5" name="Logement hors VS" dataDxfId="1"/>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Y182"/>
  <sheetViews>
    <sheetView showGridLines="0" showRowColHeaders="0" tabSelected="1" topLeftCell="A2" zoomScaleNormal="100" workbookViewId="0">
      <selection activeCell="A11" sqref="A11:B11"/>
    </sheetView>
  </sheetViews>
  <sheetFormatPr baseColWidth="10" defaultColWidth="0" defaultRowHeight="15" zeroHeight="1" outlineLevelRow="1" outlineLevelCol="1" x14ac:dyDescent="0.25"/>
  <cols>
    <col min="1" max="1" width="56.42578125" bestFit="1" customWidth="1"/>
    <col min="2" max="2" width="12.42578125" customWidth="1"/>
    <col min="3" max="3" width="13.85546875" customWidth="1"/>
    <col min="4" max="4" width="12.28515625" customWidth="1"/>
    <col min="5" max="5" width="12.5703125" customWidth="1"/>
    <col min="6" max="6" width="15.28515625" style="4" customWidth="1"/>
    <col min="7" max="12" width="7.42578125" style="4" hidden="1" customWidth="1" outlineLevel="1"/>
    <col min="13" max="13" width="6.85546875" hidden="1" customWidth="1" outlineLevel="1"/>
    <col min="14" max="14" width="48.5703125" hidden="1" customWidth="1" outlineLevel="1"/>
    <col min="15" max="15" width="53.85546875" hidden="1" customWidth="1" outlineLevel="1"/>
    <col min="16" max="18" width="11.42578125" hidden="1" customWidth="1" outlineLevel="1"/>
    <col min="19" max="19" width="11.5703125" hidden="1" customWidth="1" outlineLevel="1"/>
    <col min="20" max="20" width="3.42578125" hidden="1" customWidth="1" outlineLevel="1"/>
    <col min="21" max="21" width="118.85546875" hidden="1" customWidth="1" outlineLevel="1"/>
    <col min="22" max="22" width="114.85546875" hidden="1" customWidth="1" outlineLevel="1"/>
    <col min="23" max="23" width="0" hidden="1" customWidth="1" collapsed="1"/>
    <col min="24" max="25" width="0" hidden="1" customWidth="1"/>
    <col min="26" max="16384" width="11.42578125" hidden="1"/>
  </cols>
  <sheetData>
    <row r="1" spans="1:22" ht="319.5" hidden="1" customHeight="1" outlineLevel="1" x14ac:dyDescent="0.25">
      <c r="A1" s="307" t="s">
        <v>262</v>
      </c>
      <c r="B1" s="307"/>
      <c r="C1" s="307"/>
      <c r="D1" s="307"/>
      <c r="E1" s="307"/>
      <c r="F1" s="307"/>
      <c r="U1" s="194" t="s">
        <v>262</v>
      </c>
      <c r="V1" s="194" t="s">
        <v>390</v>
      </c>
    </row>
    <row r="2" spans="1:22" collapsed="1" x14ac:dyDescent="0.25">
      <c r="A2" s="221"/>
      <c r="B2" s="221"/>
      <c r="C2" s="221"/>
      <c r="D2" s="221"/>
      <c r="E2" s="221"/>
      <c r="F2" s="221"/>
    </row>
    <row r="3" spans="1:22" ht="18.75" x14ac:dyDescent="0.3">
      <c r="A3" s="248" t="str">
        <f>IF($H$3=1,U3,V3)</f>
        <v>Schuljahr</v>
      </c>
      <c r="B3" s="249" t="s">
        <v>248</v>
      </c>
      <c r="C3" s="250"/>
      <c r="D3" s="250"/>
      <c r="E3" s="250"/>
      <c r="F3" s="251" t="s">
        <v>312</v>
      </c>
      <c r="H3" s="5">
        <f>VLOOKUP(F3,N2:N3:O4,2,FALSE)</f>
        <v>2</v>
      </c>
      <c r="N3" s="6" t="s">
        <v>311</v>
      </c>
      <c r="O3" s="185">
        <v>1</v>
      </c>
      <c r="U3" t="s">
        <v>256</v>
      </c>
      <c r="V3" t="s">
        <v>317</v>
      </c>
    </row>
    <row r="4" spans="1:22" x14ac:dyDescent="0.25">
      <c r="A4" s="221"/>
      <c r="B4" s="221"/>
      <c r="C4" s="221"/>
      <c r="D4" s="221"/>
      <c r="E4" s="221"/>
      <c r="F4" s="221"/>
      <c r="N4" s="13" t="s">
        <v>312</v>
      </c>
      <c r="O4" s="142">
        <v>2</v>
      </c>
    </row>
    <row r="5" spans="1:22" ht="58.5" customHeight="1" x14ac:dyDescent="0.25">
      <c r="A5" s="301" t="str">
        <f t="shared" ref="A5:F5" si="0">IF($H$3=1,U5,V5)</f>
        <v>Vervollständigen Sie bitte alle nachfolgenden Felder in grau, orange und grün.
 - Bei den grauen Feldern wählen Sie bitte eine Option aus.
 - In die orangen Felder geben Sie bitte eine ganze Zahl ein.</v>
      </c>
      <c r="B5" s="301" t="str">
        <f>IF($H$3=1,V5,V6)</f>
        <v xml:space="preserve"> - Dans les cellules vertes, vous devez saisir du texte.
 - In die grünen Felder geben Sie bitte einen Text ein.</v>
      </c>
      <c r="C5" s="301">
        <f>IF($H$3=1,V6,X5)</f>
        <v>0</v>
      </c>
      <c r="D5" s="301">
        <f t="shared" si="0"/>
        <v>0</v>
      </c>
      <c r="E5" s="301">
        <f t="shared" si="0"/>
        <v>0</v>
      </c>
      <c r="F5" s="301">
        <f t="shared" si="0"/>
        <v>0</v>
      </c>
      <c r="U5" s="195" t="s">
        <v>422</v>
      </c>
      <c r="V5" s="217" t="s">
        <v>423</v>
      </c>
    </row>
    <row r="6" spans="1:22" ht="9" customHeight="1" x14ac:dyDescent="0.25">
      <c r="A6" s="222"/>
      <c r="B6" s="222"/>
      <c r="C6" s="222"/>
      <c r="D6" s="222"/>
      <c r="E6" s="222"/>
      <c r="F6" s="223"/>
      <c r="G6" s="2"/>
      <c r="H6" s="2"/>
      <c r="I6" s="2"/>
      <c r="J6" s="2"/>
      <c r="K6" s="2"/>
      <c r="L6" s="2"/>
      <c r="M6" s="1"/>
      <c r="N6" s="1"/>
      <c r="O6" s="1"/>
      <c r="Q6" s="186" t="s">
        <v>311</v>
      </c>
      <c r="R6" s="186" t="s">
        <v>312</v>
      </c>
      <c r="V6" s="192" t="s">
        <v>419</v>
      </c>
    </row>
    <row r="7" spans="1:22" x14ac:dyDescent="0.25">
      <c r="A7" s="224"/>
      <c r="B7" s="224"/>
      <c r="C7" s="224"/>
      <c r="D7" s="224"/>
      <c r="E7" s="224"/>
      <c r="F7" s="225"/>
      <c r="G7" s="121"/>
      <c r="H7" s="121"/>
      <c r="I7" s="121"/>
      <c r="J7" s="121"/>
      <c r="K7" s="121"/>
      <c r="L7" s="121"/>
      <c r="M7" s="44"/>
      <c r="N7" s="6" t="s">
        <v>239</v>
      </c>
      <c r="O7" s="141">
        <f ca="1">TODAY()</f>
        <v>42968</v>
      </c>
      <c r="Q7" s="186"/>
      <c r="R7" s="186"/>
    </row>
    <row r="8" spans="1:22" ht="18.75" x14ac:dyDescent="0.3">
      <c r="A8" s="252" t="str">
        <f>IF($H$3=1,U8,V8)</f>
        <v>Ausbildung und Kostenkategorie</v>
      </c>
      <c r="B8" s="252"/>
      <c r="C8" s="252"/>
      <c r="D8" s="252"/>
      <c r="E8" s="252"/>
      <c r="F8" s="252"/>
      <c r="G8" s="121"/>
      <c r="H8" s="121"/>
      <c r="I8" s="121"/>
      <c r="J8" s="121"/>
      <c r="K8" s="121"/>
      <c r="L8" s="121"/>
      <c r="M8" s="44"/>
      <c r="N8" s="13" t="s">
        <v>238</v>
      </c>
      <c r="O8" s="142">
        <f ca="1">IF(MONTH(O7)&gt;=7,YEAR(O7)-2,YEAR(O7)-3)</f>
        <v>2015</v>
      </c>
      <c r="Q8" s="186"/>
      <c r="R8" s="186"/>
      <c r="U8" t="s">
        <v>0</v>
      </c>
      <c r="V8" s="125" t="s">
        <v>391</v>
      </c>
    </row>
    <row r="9" spans="1:22" x14ac:dyDescent="0.25">
      <c r="A9" s="222"/>
      <c r="B9" s="222"/>
      <c r="C9" s="222"/>
      <c r="D9" s="222"/>
      <c r="E9" s="222"/>
      <c r="F9" s="223"/>
      <c r="Q9" s="186"/>
      <c r="R9" s="186"/>
    </row>
    <row r="10" spans="1:22" ht="15.75" x14ac:dyDescent="0.25">
      <c r="A10" s="254" t="str">
        <f>IF($H$3=1,U10,V10)</f>
        <v>Art der geplanten Ausbildung</v>
      </c>
      <c r="B10" s="222"/>
      <c r="C10" s="222"/>
      <c r="D10" s="222"/>
      <c r="E10" s="222"/>
      <c r="F10" s="223"/>
      <c r="N10" s="6" t="str">
        <f>IF($H$3=1,Q10,R10)</f>
        <v xml:space="preserve">Besuch einer OS-Klasse in einer anderen Sprachregion oder einer Sport-Kunst-Ausbildungsstruktur </v>
      </c>
      <c r="O10" s="7">
        <v>1</v>
      </c>
      <c r="Q10" s="186" t="s">
        <v>3</v>
      </c>
      <c r="R10" s="186" t="s">
        <v>366</v>
      </c>
      <c r="U10" t="s">
        <v>267</v>
      </c>
      <c r="V10" t="s">
        <v>318</v>
      </c>
    </row>
    <row r="11" spans="1:22" ht="36.75" customHeight="1" x14ac:dyDescent="0.25">
      <c r="A11" s="311" t="s">
        <v>424</v>
      </c>
      <c r="B11" s="312"/>
      <c r="C11" s="222"/>
      <c r="D11" s="222"/>
      <c r="E11" s="222"/>
      <c r="F11" s="223"/>
      <c r="H11" s="5">
        <f>VLOOKUP(A11,N10:O16,2,FALSE)</f>
        <v>1</v>
      </c>
      <c r="N11" s="9" t="str">
        <f t="shared" ref="N11:N16" si="1">IF($H$3=1,Q11,R11)</f>
        <v xml:space="preserve">Vorbereitende Schule (Schule für Berufsvorbereitung, ...) </v>
      </c>
      <c r="O11" s="10">
        <v>1</v>
      </c>
      <c r="Q11" s="186" t="s">
        <v>4</v>
      </c>
      <c r="R11" s="186" t="s">
        <v>367</v>
      </c>
    </row>
    <row r="12" spans="1:22" x14ac:dyDescent="0.25">
      <c r="A12" s="222"/>
      <c r="B12" s="222"/>
      <c r="C12" s="222"/>
      <c r="D12" s="222"/>
      <c r="E12" s="222"/>
      <c r="F12" s="223"/>
      <c r="H12" s="8"/>
      <c r="N12" s="9" t="str">
        <f t="shared" si="1"/>
        <v xml:space="preserve">Berufslehre </v>
      </c>
      <c r="O12" s="10">
        <v>1</v>
      </c>
      <c r="Q12" s="186" t="s">
        <v>6</v>
      </c>
      <c r="R12" s="186" t="s">
        <v>368</v>
      </c>
    </row>
    <row r="13" spans="1:22" ht="15.75" x14ac:dyDescent="0.25">
      <c r="A13" s="254" t="str">
        <f>IF($H$3=1,U13,V13)</f>
        <v>Kostenkategorie</v>
      </c>
      <c r="B13" s="222"/>
      <c r="C13" s="222"/>
      <c r="D13" s="222"/>
      <c r="E13" s="222"/>
      <c r="F13" s="223"/>
      <c r="H13" s="8"/>
      <c r="N13" s="9" t="str">
        <f t="shared" si="1"/>
        <v xml:space="preserve">Mittelschulausbildung (Kollegium, FMS, HMS, ...) </v>
      </c>
      <c r="O13" s="10">
        <v>1</v>
      </c>
      <c r="Q13" s="186" t="s">
        <v>8</v>
      </c>
      <c r="R13" s="186" t="s">
        <v>424</v>
      </c>
      <c r="U13" t="s">
        <v>5</v>
      </c>
      <c r="V13" s="125" t="s">
        <v>392</v>
      </c>
    </row>
    <row r="14" spans="1:22" ht="17.25" x14ac:dyDescent="0.25">
      <c r="A14" s="311" t="s">
        <v>210</v>
      </c>
      <c r="B14" s="312"/>
      <c r="C14" s="222"/>
      <c r="D14" s="222"/>
      <c r="E14" s="222"/>
      <c r="F14" s="223"/>
      <c r="H14" s="5">
        <f>VLOOKUP(A14,N18:O21,2,FALSE)</f>
        <v>2</v>
      </c>
      <c r="N14" s="9" t="str">
        <f t="shared" si="1"/>
        <v>Tertiäre Ausbildung</v>
      </c>
      <c r="O14" s="10">
        <v>2</v>
      </c>
      <c r="Q14" s="186" t="s">
        <v>2</v>
      </c>
      <c r="R14" s="186" t="s">
        <v>369</v>
      </c>
    </row>
    <row r="15" spans="1:22" x14ac:dyDescent="0.25">
      <c r="A15" s="222"/>
      <c r="B15" s="222"/>
      <c r="C15" s="222"/>
      <c r="D15" s="222"/>
      <c r="E15" s="222"/>
      <c r="F15" s="223"/>
      <c r="H15" s="8"/>
      <c r="N15" s="9" t="str">
        <f t="shared" si="1"/>
        <v xml:space="preserve">Fernstudium (Tertiärstufe) </v>
      </c>
      <c r="O15" s="10">
        <v>3</v>
      </c>
      <c r="Q15" s="186" t="s">
        <v>185</v>
      </c>
      <c r="R15" s="186" t="s">
        <v>370</v>
      </c>
    </row>
    <row r="16" spans="1:22" ht="15.75" x14ac:dyDescent="0.25">
      <c r="A16" s="254" t="str">
        <f>IF($H$3=1,U16,V16)</f>
        <v>Art der Schule</v>
      </c>
      <c r="B16" s="222"/>
      <c r="C16" s="222"/>
      <c r="D16" s="222"/>
      <c r="E16" s="222"/>
      <c r="F16" s="223"/>
      <c r="H16" s="8"/>
      <c r="N16" s="13" t="str">
        <f t="shared" si="1"/>
        <v>Berufsbegleitende Weiterbildungen</v>
      </c>
      <c r="O16" s="14">
        <v>4</v>
      </c>
      <c r="Q16" s="186" t="s">
        <v>16</v>
      </c>
      <c r="R16" s="186" t="s">
        <v>371</v>
      </c>
      <c r="U16" t="s">
        <v>9</v>
      </c>
      <c r="V16" t="s">
        <v>319</v>
      </c>
    </row>
    <row r="17" spans="1:22" ht="17.25" x14ac:dyDescent="0.25">
      <c r="A17" s="311" t="s">
        <v>321</v>
      </c>
      <c r="B17" s="312"/>
      <c r="C17" s="222"/>
      <c r="D17" s="222"/>
      <c r="E17" s="222"/>
      <c r="F17" s="223"/>
      <c r="H17" s="5">
        <f>VLOOKUP(A17,N23:O24,2,FALSE)</f>
        <v>1</v>
      </c>
      <c r="N17" s="69"/>
      <c r="O17" s="69"/>
      <c r="Q17" s="186"/>
      <c r="R17" s="186"/>
    </row>
    <row r="18" spans="1:22" x14ac:dyDescent="0.25">
      <c r="A18" s="222"/>
      <c r="B18" s="222"/>
      <c r="C18" s="222"/>
      <c r="D18" s="222"/>
      <c r="E18" s="222"/>
      <c r="F18" s="223"/>
      <c r="N18" s="6" t="str">
        <f t="shared" ref="N18:N21" si="2">IF($H$3=1,Q18,R18)</f>
        <v>Mittagessen zuhause</v>
      </c>
      <c r="O18" s="7">
        <v>1</v>
      </c>
      <c r="Q18" s="186" t="s">
        <v>19</v>
      </c>
      <c r="R18" s="186" t="s">
        <v>218</v>
      </c>
    </row>
    <row r="19" spans="1:22" ht="15.75" x14ac:dyDescent="0.25">
      <c r="A19" s="254" t="str">
        <f>IF($H$3=1,U19,V19)</f>
        <v>Anzahl Semester während dem Ausbildungsjahr</v>
      </c>
      <c r="B19" s="222"/>
      <c r="C19" s="222"/>
      <c r="D19" s="222"/>
      <c r="E19" s="222"/>
      <c r="F19" s="223"/>
      <c r="N19" s="9" t="str">
        <f t="shared" si="2"/>
        <v>Mittagessen auswärts</v>
      </c>
      <c r="O19" s="10">
        <v>2</v>
      </c>
      <c r="Q19" s="186" t="s">
        <v>21</v>
      </c>
      <c r="R19" s="186" t="s">
        <v>210</v>
      </c>
      <c r="U19" t="s">
        <v>393</v>
      </c>
      <c r="V19" s="125" t="s">
        <v>394</v>
      </c>
    </row>
    <row r="20" spans="1:22" ht="17.25" x14ac:dyDescent="0.25">
      <c r="A20" s="308">
        <v>2</v>
      </c>
      <c r="B20" s="309"/>
      <c r="C20" s="222"/>
      <c r="D20" s="226"/>
      <c r="E20" s="226"/>
      <c r="F20" s="226"/>
      <c r="G20" s="152"/>
      <c r="H20" s="5">
        <f>VLOOKUP(A20,N26:O27,2,FALSE)</f>
        <v>2</v>
      </c>
      <c r="I20" s="152"/>
      <c r="J20" s="152"/>
      <c r="K20" s="152"/>
      <c r="L20" s="152"/>
      <c r="N20" s="9" t="str">
        <f t="shared" si="2"/>
        <v>Unterkunft und Verpflegung ausserhalb der Familie im Kanton</v>
      </c>
      <c r="O20" s="10">
        <v>3</v>
      </c>
      <c r="Q20" s="186" t="s">
        <v>276</v>
      </c>
      <c r="R20" s="198" t="s">
        <v>372</v>
      </c>
    </row>
    <row r="21" spans="1:22" x14ac:dyDescent="0.25">
      <c r="A21" s="227"/>
      <c r="B21" s="228"/>
      <c r="C21" s="226"/>
      <c r="D21" s="226"/>
      <c r="E21" s="226"/>
      <c r="F21" s="226"/>
      <c r="G21" s="152"/>
      <c r="H21" s="152"/>
      <c r="I21" s="152"/>
      <c r="J21" s="152"/>
      <c r="K21" s="152"/>
      <c r="L21" s="152"/>
      <c r="N21" s="13" t="str">
        <f t="shared" si="2"/>
        <v>Unterkunft und Verpflegung ausserhalb des Kantons</v>
      </c>
      <c r="O21" s="14">
        <v>4</v>
      </c>
      <c r="Q21" s="186" t="s">
        <v>277</v>
      </c>
      <c r="R21" s="186" t="s">
        <v>219</v>
      </c>
    </row>
    <row r="22" spans="1:22" ht="15.75" x14ac:dyDescent="0.25">
      <c r="A22" s="254" t="str">
        <f>IF($H$3=1,U22,V22)</f>
        <v>Schulkosten</v>
      </c>
      <c r="B22" s="255">
        <v>0</v>
      </c>
      <c r="C22" s="222"/>
      <c r="D22" s="222"/>
      <c r="E22" s="222"/>
      <c r="F22" s="223"/>
      <c r="G22" s="152"/>
      <c r="H22" s="152"/>
      <c r="I22" s="152"/>
      <c r="J22" s="152"/>
      <c r="K22" s="152"/>
      <c r="L22" s="152"/>
      <c r="Q22" s="186"/>
      <c r="R22" s="186"/>
      <c r="U22" t="s">
        <v>20</v>
      </c>
      <c r="V22" t="s">
        <v>322</v>
      </c>
    </row>
    <row r="23" spans="1:22" ht="33" customHeight="1" x14ac:dyDescent="0.25">
      <c r="A23" s="301" t="str">
        <f t="shared" ref="A23:F23" si="3">IF($H$3=1,U23,V23)</f>
        <v>Nur ausfüllen, wenn es sich um eine berufsbegleitende Weiterbildung handelt (alle mit dem Kurs verbundenen Kosten einschliessen) oder die Ausbildung von einer Privatschule angeboten wird (nur Schulgeld).</v>
      </c>
      <c r="B23" s="301">
        <f t="shared" si="3"/>
        <v>0</v>
      </c>
      <c r="C23" s="301">
        <f t="shared" si="3"/>
        <v>0</v>
      </c>
      <c r="D23" s="301">
        <f t="shared" si="3"/>
        <v>0</v>
      </c>
      <c r="E23" s="301">
        <f t="shared" si="3"/>
        <v>0</v>
      </c>
      <c r="F23" s="301">
        <f t="shared" si="3"/>
        <v>0</v>
      </c>
      <c r="G23" s="152"/>
      <c r="H23" s="152"/>
      <c r="I23" s="152"/>
      <c r="J23" s="152"/>
      <c r="K23" s="152"/>
      <c r="L23" s="152"/>
      <c r="N23" s="6" t="str">
        <f t="shared" ref="N23:N24" si="4">IF($H$3=1,Q23,R23)</f>
        <v>Öffentliche Schule</v>
      </c>
      <c r="O23" s="7">
        <v>1</v>
      </c>
      <c r="Q23" s="186" t="s">
        <v>15</v>
      </c>
      <c r="R23" s="186" t="s">
        <v>321</v>
      </c>
      <c r="U23" s="194" t="s">
        <v>255</v>
      </c>
      <c r="V23" s="218" t="s">
        <v>395</v>
      </c>
    </row>
    <row r="24" spans="1:22" hidden="1" outlineLevel="1" x14ac:dyDescent="0.25">
      <c r="A24" s="149"/>
      <c r="B24" s="148"/>
      <c r="C24" s="156"/>
      <c r="D24" s="156"/>
      <c r="E24" s="156"/>
      <c r="F24" s="156"/>
      <c r="G24" s="152"/>
      <c r="H24" s="152"/>
      <c r="I24" s="152"/>
      <c r="J24" s="152"/>
      <c r="K24" s="152"/>
      <c r="L24" s="152"/>
      <c r="N24" s="13" t="str">
        <f t="shared" si="4"/>
        <v xml:space="preserve">Private Schule </v>
      </c>
      <c r="O24" s="14">
        <v>2</v>
      </c>
      <c r="Q24" s="186" t="s">
        <v>25</v>
      </c>
      <c r="R24" s="186" t="s">
        <v>320</v>
      </c>
    </row>
    <row r="25" spans="1:22" hidden="1" outlineLevel="1" x14ac:dyDescent="0.25">
      <c r="B25" s="8"/>
      <c r="N25" s="69"/>
      <c r="O25" s="69"/>
      <c r="Q25" s="186"/>
      <c r="R25" s="186"/>
    </row>
    <row r="26" spans="1:22" hidden="1" outlineLevel="1" x14ac:dyDescent="0.25">
      <c r="A26" s="3" t="s">
        <v>23</v>
      </c>
      <c r="B26" s="163">
        <f>IF(H11&lt;&gt;4,IF(AND(H17=2,B22&gt;6000),VLOOKUP(H11,N30:R34,H14+1,FALSE)+MIN((B22-6000),5000),VLOOKUP(H11,N30:R34,H14+1,FALSE)),MIN(B22,16000))</f>
        <v>6000</v>
      </c>
      <c r="H26" s="29">
        <f>IF(H11&lt;&gt;4,VLOOKUP(H11,N30:R34,H14+1,FALSE),B22)</f>
        <v>6000</v>
      </c>
      <c r="I26" s="29" t="s">
        <v>24</v>
      </c>
      <c r="N26" s="6">
        <v>1</v>
      </c>
      <c r="O26" s="7">
        <v>1</v>
      </c>
      <c r="Q26" s="186"/>
      <c r="R26" s="186"/>
      <c r="U26" t="s">
        <v>23</v>
      </c>
    </row>
    <row r="27" spans="1:22" hidden="1" outlineLevel="1" x14ac:dyDescent="0.25">
      <c r="N27" s="13">
        <v>2</v>
      </c>
      <c r="O27" s="14">
        <v>2</v>
      </c>
      <c r="Q27" s="186"/>
      <c r="R27" s="186"/>
      <c r="V27" t="s">
        <v>327</v>
      </c>
    </row>
    <row r="28" spans="1:22" hidden="1" outlineLevel="1" x14ac:dyDescent="0.25">
      <c r="N28" s="83"/>
      <c r="O28" s="200"/>
      <c r="Q28" s="186"/>
      <c r="R28" s="186"/>
    </row>
    <row r="29" spans="1:22" hidden="1" outlineLevel="1" x14ac:dyDescent="0.25">
      <c r="N29" s="11" t="s">
        <v>10</v>
      </c>
      <c r="O29" s="201" t="s">
        <v>11</v>
      </c>
      <c r="P29" s="12" t="s">
        <v>12</v>
      </c>
      <c r="Q29" s="12" t="s">
        <v>13</v>
      </c>
      <c r="R29" s="12" t="s">
        <v>14</v>
      </c>
    </row>
    <row r="30" spans="1:22" hidden="1" outlineLevel="1" x14ac:dyDescent="0.25">
      <c r="N30" s="11" t="s">
        <v>17</v>
      </c>
      <c r="O30" s="15">
        <v>1</v>
      </c>
      <c r="P30" s="16">
        <v>2</v>
      </c>
      <c r="Q30" s="17">
        <v>3</v>
      </c>
      <c r="R30" s="17">
        <v>4</v>
      </c>
      <c r="S30" t="s">
        <v>18</v>
      </c>
    </row>
    <row r="31" spans="1:22" hidden="1" outlineLevel="1" x14ac:dyDescent="0.25">
      <c r="N31" s="18">
        <v>1</v>
      </c>
      <c r="O31" s="19">
        <v>4000</v>
      </c>
      <c r="P31" s="20">
        <v>6000</v>
      </c>
      <c r="Q31" s="21">
        <v>10500</v>
      </c>
      <c r="R31" s="21">
        <v>12000</v>
      </c>
      <c r="S31" s="22">
        <v>17000</v>
      </c>
    </row>
    <row r="32" spans="1:22" hidden="1" outlineLevel="1" x14ac:dyDescent="0.25">
      <c r="N32" s="23">
        <v>2</v>
      </c>
      <c r="O32" s="24">
        <v>5000</v>
      </c>
      <c r="P32" s="25">
        <v>7500</v>
      </c>
      <c r="Q32" s="26">
        <v>13500</v>
      </c>
      <c r="R32" s="26">
        <v>16000</v>
      </c>
      <c r="S32" s="22">
        <v>21000</v>
      </c>
    </row>
    <row r="33" spans="1:22" hidden="1" outlineLevel="1" x14ac:dyDescent="0.25">
      <c r="N33" s="23">
        <v>3</v>
      </c>
      <c r="O33" s="24">
        <v>5000</v>
      </c>
      <c r="P33" s="25">
        <v>5000</v>
      </c>
      <c r="Q33" s="26">
        <v>5000</v>
      </c>
      <c r="R33" s="26">
        <v>5000</v>
      </c>
      <c r="S33" s="22">
        <v>10000</v>
      </c>
    </row>
    <row r="34" spans="1:22" collapsed="1" x14ac:dyDescent="0.25">
      <c r="A34" s="222"/>
      <c r="B34" s="222"/>
      <c r="C34" s="222"/>
      <c r="D34" s="222"/>
      <c r="E34" s="222"/>
      <c r="F34" s="223"/>
      <c r="N34" s="23">
        <v>4</v>
      </c>
      <c r="O34" s="27" t="s">
        <v>22</v>
      </c>
      <c r="P34" s="28"/>
      <c r="Q34" s="28"/>
      <c r="R34" s="28"/>
      <c r="S34" s="22">
        <v>16000</v>
      </c>
    </row>
    <row r="35" spans="1:22" ht="18.75" x14ac:dyDescent="0.3">
      <c r="A35" s="252" t="str">
        <f>IF($H$3=1,U35,V35)</f>
        <v>Situation der Person in Ausbildung</v>
      </c>
      <c r="B35" s="252"/>
      <c r="C35" s="252"/>
      <c r="D35" s="252"/>
      <c r="E35" s="252"/>
      <c r="F35" s="252"/>
      <c r="G35" s="2"/>
      <c r="H35" s="2"/>
      <c r="I35" s="2"/>
      <c r="J35" s="2"/>
      <c r="K35" s="2"/>
      <c r="L35" s="2"/>
      <c r="M35" s="1"/>
      <c r="N35" s="1"/>
      <c r="O35" s="1"/>
      <c r="P35" s="30"/>
      <c r="Q35" s="187"/>
      <c r="R35" s="187"/>
      <c r="U35" t="s">
        <v>257</v>
      </c>
      <c r="V35" s="125" t="s">
        <v>396</v>
      </c>
    </row>
    <row r="36" spans="1:22" x14ac:dyDescent="0.25">
      <c r="A36" s="224"/>
      <c r="B36" s="224"/>
      <c r="C36" s="224"/>
      <c r="D36" s="224"/>
      <c r="E36" s="224"/>
      <c r="F36" s="225"/>
      <c r="G36" s="121"/>
      <c r="H36" s="121"/>
      <c r="I36" s="121"/>
      <c r="J36" s="121"/>
      <c r="K36" s="121"/>
      <c r="L36" s="121"/>
      <c r="M36" s="44"/>
      <c r="N36" s="44"/>
      <c r="O36" s="44"/>
      <c r="P36" s="30"/>
      <c r="Q36" s="187"/>
      <c r="R36" s="187"/>
    </row>
    <row r="37" spans="1:22" hidden="1" outlineLevel="1" x14ac:dyDescent="0.25">
      <c r="A37" s="44" t="str">
        <f>IF($H$3=1,U37,V37)</f>
        <v>Name</v>
      </c>
      <c r="B37" s="315"/>
      <c r="C37" s="316"/>
      <c r="D37" s="44"/>
      <c r="E37" s="44"/>
      <c r="F37" s="121"/>
      <c r="G37" s="121"/>
      <c r="H37" s="44" t="s">
        <v>200</v>
      </c>
      <c r="I37" s="122"/>
      <c r="J37" s="121"/>
      <c r="K37" s="121"/>
      <c r="L37" s="121"/>
      <c r="M37" s="44"/>
      <c r="N37" s="6" t="str">
        <f t="shared" ref="N37:N38" si="5">IF($H$3=1,Q37,R37)</f>
        <v>Nein</v>
      </c>
      <c r="O37" s="7">
        <v>0</v>
      </c>
      <c r="P37" s="30"/>
      <c r="Q37" s="187" t="s">
        <v>250</v>
      </c>
      <c r="R37" s="187" t="s">
        <v>364</v>
      </c>
      <c r="U37" t="s">
        <v>199</v>
      </c>
      <c r="V37" t="s">
        <v>325</v>
      </c>
    </row>
    <row r="38" spans="1:22" hidden="1" outlineLevel="1" x14ac:dyDescent="0.25">
      <c r="A38" s="44"/>
      <c r="B38" s="44"/>
      <c r="C38" s="44"/>
      <c r="D38" s="44"/>
      <c r="E38" s="44"/>
      <c r="F38" s="121"/>
      <c r="G38" s="121"/>
      <c r="H38" s="44"/>
      <c r="I38" s="122"/>
      <c r="J38" s="121"/>
      <c r="K38" s="121"/>
      <c r="L38" s="121"/>
      <c r="M38" s="44"/>
      <c r="N38" s="13" t="str">
        <f t="shared" si="5"/>
        <v>Ja</v>
      </c>
      <c r="O38" s="14">
        <v>1</v>
      </c>
      <c r="P38" s="30"/>
      <c r="Q38" s="187" t="s">
        <v>251</v>
      </c>
      <c r="R38" s="187" t="s">
        <v>365</v>
      </c>
    </row>
    <row r="39" spans="1:22" ht="15.75" hidden="1" outlineLevel="1" thickBot="1" x14ac:dyDescent="0.3">
      <c r="A39" s="3" t="str">
        <f>IF($H$3=1,U39,V39)</f>
        <v>Vorname</v>
      </c>
      <c r="B39" s="315"/>
      <c r="C39" s="316"/>
      <c r="E39" s="44"/>
      <c r="F39" s="121"/>
      <c r="G39" s="121"/>
      <c r="H39" s="121"/>
      <c r="I39" s="121"/>
      <c r="J39" s="121"/>
      <c r="K39" s="121"/>
      <c r="L39" s="121"/>
      <c r="M39" s="44"/>
      <c r="Q39" s="186"/>
      <c r="R39" s="186"/>
      <c r="U39" t="s">
        <v>249</v>
      </c>
      <c r="V39" t="s">
        <v>326</v>
      </c>
    </row>
    <row r="40" spans="1:22" ht="15.75" hidden="1" outlineLevel="1" thickBot="1" x14ac:dyDescent="0.3">
      <c r="N40" s="31" t="s">
        <v>29</v>
      </c>
      <c r="O40" s="32" t="s">
        <v>30</v>
      </c>
      <c r="Q40" s="186"/>
      <c r="R40" s="186"/>
    </row>
    <row r="41" spans="1:22" ht="16.5" collapsed="1" thickBot="1" x14ac:dyDescent="0.3">
      <c r="A41" s="254" t="str">
        <f>IF($H$3=1,U41,V41)</f>
        <v>Status</v>
      </c>
      <c r="B41" s="313" t="s">
        <v>211</v>
      </c>
      <c r="C41" s="314"/>
      <c r="D41" s="222"/>
      <c r="E41" s="222"/>
      <c r="F41" s="223"/>
      <c r="H41" s="5">
        <f>VLOOKUP(B41,N55:O62,2,FALSE)</f>
        <v>1</v>
      </c>
      <c r="N41" s="33" t="s">
        <v>31</v>
      </c>
      <c r="O41" s="34" t="s">
        <v>32</v>
      </c>
      <c r="Q41" s="186"/>
      <c r="R41" s="186"/>
      <c r="U41" t="s">
        <v>27</v>
      </c>
      <c r="V41" t="s">
        <v>397</v>
      </c>
    </row>
    <row r="42" spans="1:22" ht="16.5" thickBot="1" x14ac:dyDescent="0.3">
      <c r="A42" s="254"/>
      <c r="B42" s="222"/>
      <c r="C42" s="222"/>
      <c r="D42" s="222"/>
      <c r="E42" s="222"/>
      <c r="F42" s="223"/>
      <c r="N42" s="36" t="s">
        <v>34</v>
      </c>
      <c r="O42" s="37" t="s">
        <v>32</v>
      </c>
      <c r="Q42" s="186"/>
      <c r="R42" s="186"/>
    </row>
    <row r="43" spans="1:22" ht="16.5" thickBot="1" x14ac:dyDescent="0.3">
      <c r="A43" s="254" t="str">
        <f>IF($H$3=1,U43,V43)</f>
        <v xml:space="preserve">Kinder des Antragstellers </v>
      </c>
      <c r="B43" s="222"/>
      <c r="C43" s="256">
        <v>0</v>
      </c>
      <c r="D43" s="222"/>
      <c r="E43" s="222"/>
      <c r="F43" s="223"/>
      <c r="H43" s="56" t="s">
        <v>120</v>
      </c>
      <c r="N43" s="36" t="s">
        <v>36</v>
      </c>
      <c r="O43" s="34" t="s">
        <v>37</v>
      </c>
      <c r="Q43" s="186"/>
      <c r="R43" s="186"/>
      <c r="U43" t="s">
        <v>112</v>
      </c>
      <c r="V43" t="s">
        <v>323</v>
      </c>
    </row>
    <row r="44" spans="1:22" ht="16.5" thickBot="1" x14ac:dyDescent="0.3">
      <c r="A44" s="254"/>
      <c r="B44" s="222"/>
      <c r="C44" s="222"/>
      <c r="D44" s="222"/>
      <c r="E44" s="222"/>
      <c r="F44" s="223"/>
      <c r="N44" s="36" t="s">
        <v>39</v>
      </c>
      <c r="O44" s="37" t="s">
        <v>114</v>
      </c>
      <c r="Q44" s="186"/>
      <c r="R44" s="186"/>
    </row>
    <row r="45" spans="1:22" ht="16.5" thickBot="1" x14ac:dyDescent="0.3">
      <c r="A45" s="254" t="str">
        <f>IF($H$3=1,U45,V45)</f>
        <v>Partielle Unabhängigkeit von den Eltern</v>
      </c>
      <c r="B45" s="222"/>
      <c r="C45" s="257" t="s">
        <v>364</v>
      </c>
      <c r="D45" s="222"/>
      <c r="E45" s="222"/>
      <c r="F45" s="223"/>
      <c r="H45" s="5">
        <f>VLOOKUP(C45,N37:O38,2,FALSE)</f>
        <v>0</v>
      </c>
      <c r="I45" s="56" t="s">
        <v>101</v>
      </c>
      <c r="N45" s="33"/>
      <c r="O45" s="34" t="s">
        <v>113</v>
      </c>
      <c r="Q45" s="186"/>
      <c r="R45" s="186"/>
      <c r="U45" t="s">
        <v>116</v>
      </c>
      <c r="V45" t="s">
        <v>329</v>
      </c>
    </row>
    <row r="46" spans="1:22" ht="94.5" customHeight="1" thickBot="1" x14ac:dyDescent="0.3">
      <c r="A46" s="301" t="str">
        <f t="shared" ref="A46:F46" si="6">IF($H$3=1,U46,V46)</f>
        <v>Vervollständigen Sie bitte die nachfolgenden Kriterien gemäss den vor Beginn Ihrer Ausbildung geltenden Angaben:
- Alter &gt; abgeschlossenes 25. Altersjahr
- Erstausbildung, die Zugang zum Arbeitsmarkt bietet
-  Finanzielle Unabhängigkeit während mindestens 2 Jahren
 !! Die zuständige Behörde legt fest, ob eine partielle Unabhängigkeit vorliegt oder nicht</v>
      </c>
      <c r="B46" s="301">
        <f t="shared" si="6"/>
        <v>0</v>
      </c>
      <c r="C46" s="301">
        <f t="shared" si="6"/>
        <v>0</v>
      </c>
      <c r="D46" s="301">
        <f t="shared" si="6"/>
        <v>0</v>
      </c>
      <c r="E46" s="301">
        <f t="shared" si="6"/>
        <v>0</v>
      </c>
      <c r="F46" s="301">
        <f t="shared" si="6"/>
        <v>0</v>
      </c>
      <c r="N46" s="39"/>
      <c r="O46" s="37" t="s">
        <v>115</v>
      </c>
      <c r="Q46" s="186"/>
      <c r="R46" s="186"/>
      <c r="U46" s="194" t="s">
        <v>386</v>
      </c>
      <c r="V46" s="192" t="s">
        <v>387</v>
      </c>
    </row>
    <row r="47" spans="1:22" ht="15.75" hidden="1" outlineLevel="1" thickBot="1" x14ac:dyDescent="0.3">
      <c r="A47" s="157"/>
      <c r="B47" s="157"/>
      <c r="C47" s="157"/>
      <c r="D47" s="157"/>
      <c r="E47" s="157"/>
      <c r="F47" s="157"/>
      <c r="N47" s="36"/>
      <c r="O47" s="34"/>
      <c r="Q47" s="186"/>
      <c r="R47" s="186"/>
    </row>
    <row r="48" spans="1:22" ht="15.75" hidden="1" outlineLevel="1" thickBot="1" x14ac:dyDescent="0.3">
      <c r="A48" s="157"/>
      <c r="B48" s="157"/>
      <c r="C48" s="157"/>
      <c r="D48" s="157"/>
      <c r="E48" s="157"/>
      <c r="F48" s="157"/>
      <c r="N48" s="36" t="s">
        <v>41</v>
      </c>
      <c r="O48" s="37" t="s">
        <v>32</v>
      </c>
      <c r="Q48" s="186"/>
      <c r="R48" s="186"/>
    </row>
    <row r="49" spans="1:22" ht="15.75" hidden="1" outlineLevel="1" thickBot="1" x14ac:dyDescent="0.3">
      <c r="A49" s="157"/>
      <c r="B49" s="157"/>
      <c r="C49" s="157"/>
      <c r="D49" s="157"/>
      <c r="E49" s="157"/>
      <c r="F49" s="157"/>
      <c r="N49" s="36" t="s">
        <v>45</v>
      </c>
      <c r="O49" s="34" t="s">
        <v>46</v>
      </c>
      <c r="Q49" s="186"/>
      <c r="R49" s="186"/>
      <c r="V49" t="s">
        <v>324</v>
      </c>
    </row>
    <row r="50" spans="1:22" ht="15.75" collapsed="1" thickBot="1" x14ac:dyDescent="0.3">
      <c r="A50" s="229"/>
      <c r="B50" s="229"/>
      <c r="C50" s="229"/>
      <c r="D50" s="229"/>
      <c r="E50" s="229"/>
      <c r="F50" s="229"/>
      <c r="N50" s="36"/>
      <c r="O50" s="37"/>
      <c r="Q50" s="186"/>
      <c r="R50" s="186"/>
    </row>
    <row r="51" spans="1:22" ht="19.5" thickBot="1" x14ac:dyDescent="0.35">
      <c r="A51" s="252" t="str">
        <f>IF($H$3=1,U51,V51)</f>
        <v>Berechnung der persönlichen Ressourcen</v>
      </c>
      <c r="B51" s="252"/>
      <c r="C51" s="252"/>
      <c r="D51" s="252"/>
      <c r="E51" s="252"/>
      <c r="F51" s="252"/>
      <c r="N51" s="43" t="s">
        <v>48</v>
      </c>
      <c r="O51" s="34" t="s">
        <v>44</v>
      </c>
      <c r="Q51" s="186"/>
      <c r="R51" s="186"/>
      <c r="U51" t="s">
        <v>26</v>
      </c>
      <c r="V51" s="125" t="s">
        <v>398</v>
      </c>
    </row>
    <row r="52" spans="1:22" x14ac:dyDescent="0.25">
      <c r="A52" s="224"/>
      <c r="B52" s="222"/>
      <c r="C52" s="222"/>
      <c r="D52" s="222"/>
      <c r="E52" s="222"/>
      <c r="F52" s="223"/>
      <c r="N52" s="52"/>
      <c r="O52" s="145"/>
      <c r="Q52" s="186"/>
      <c r="R52" s="186"/>
    </row>
    <row r="53" spans="1:22" ht="15.75" x14ac:dyDescent="0.25">
      <c r="A53" s="254" t="str">
        <f t="shared" ref="A53:A66" si="7">IF($H$3=1,U53,V53)</f>
        <v>Einkommen während des Schuljahres (01.07.2017 bis 30.06.2018)</v>
      </c>
      <c r="B53" s="222"/>
      <c r="C53" s="222"/>
      <c r="D53" s="222"/>
      <c r="E53" s="222"/>
      <c r="F53" s="223"/>
      <c r="N53" s="52"/>
      <c r="O53" s="145"/>
      <c r="Q53" s="186"/>
      <c r="R53" s="186"/>
      <c r="U53" t="s">
        <v>270</v>
      </c>
      <c r="V53" s="125" t="s">
        <v>339</v>
      </c>
    </row>
    <row r="54" spans="1:22" ht="15.75" x14ac:dyDescent="0.25">
      <c r="A54" s="258" t="str">
        <f t="shared" si="7"/>
        <v>Bruttoeinkommen der Person in Ausbildung</v>
      </c>
      <c r="B54" s="222"/>
      <c r="C54" s="256">
        <v>0</v>
      </c>
      <c r="D54" s="222"/>
      <c r="E54" s="222"/>
      <c r="F54" s="223"/>
      <c r="Q54" s="186"/>
      <c r="R54" s="186"/>
      <c r="U54" t="s">
        <v>336</v>
      </c>
      <c r="V54" t="s">
        <v>337</v>
      </c>
    </row>
    <row r="55" spans="1:22" ht="15.75" x14ac:dyDescent="0.25">
      <c r="A55" s="258" t="str">
        <f t="shared" si="7"/>
        <v>Unterhaltsbeiträge</v>
      </c>
      <c r="B55" s="222"/>
      <c r="C55" s="256">
        <v>0</v>
      </c>
      <c r="D55" s="222"/>
      <c r="E55" s="222"/>
      <c r="F55" s="223"/>
      <c r="N55" s="6" t="str">
        <f t="shared" ref="N55:N62" si="8">IF($H$3=1,Q55,R55)</f>
        <v>Ledig</v>
      </c>
      <c r="O55" s="7">
        <v>1</v>
      </c>
      <c r="Q55" s="186" t="s">
        <v>28</v>
      </c>
      <c r="R55" s="186" t="s">
        <v>211</v>
      </c>
      <c r="U55" t="s">
        <v>278</v>
      </c>
      <c r="V55" s="125" t="s">
        <v>333</v>
      </c>
    </row>
    <row r="56" spans="1:22" ht="15.75" x14ac:dyDescent="0.25">
      <c r="A56" s="258" t="str">
        <f t="shared" si="7"/>
        <v>Renten der Person in Ausbildung (AHV-, IV-, Waisenrenten)</v>
      </c>
      <c r="B56" s="222"/>
      <c r="C56" s="256">
        <v>0</v>
      </c>
      <c r="D56" s="222"/>
      <c r="E56" s="222"/>
      <c r="F56" s="223"/>
      <c r="N56" s="9" t="str">
        <f t="shared" si="8"/>
        <v>Verheiratet</v>
      </c>
      <c r="O56" s="10">
        <v>2</v>
      </c>
      <c r="Q56" s="186" t="s">
        <v>204</v>
      </c>
      <c r="R56" s="186" t="s">
        <v>212</v>
      </c>
      <c r="U56" t="s">
        <v>279</v>
      </c>
      <c r="V56" t="s">
        <v>338</v>
      </c>
    </row>
    <row r="57" spans="1:22" ht="15.75" x14ac:dyDescent="0.25">
      <c r="A57" s="258" t="str">
        <f t="shared" si="7"/>
        <v xml:space="preserve">Bruttoeinkommen Ehepartners </v>
      </c>
      <c r="B57" s="222"/>
      <c r="C57" s="256">
        <v>0</v>
      </c>
      <c r="D57" s="222"/>
      <c r="E57" s="222"/>
      <c r="F57" s="223"/>
      <c r="N57" s="9" t="str">
        <f t="shared" si="8"/>
        <v xml:space="preserve">Geschieden </v>
      </c>
      <c r="O57" s="10">
        <v>1</v>
      </c>
      <c r="Q57" s="186" t="s">
        <v>202</v>
      </c>
      <c r="R57" s="186" t="s">
        <v>373</v>
      </c>
      <c r="U57" t="s">
        <v>335</v>
      </c>
      <c r="V57" t="s">
        <v>334</v>
      </c>
    </row>
    <row r="58" spans="1:22" ht="16.5" hidden="1" outlineLevel="1" thickBot="1" x14ac:dyDescent="0.3">
      <c r="A58" s="258" t="str">
        <f t="shared" si="7"/>
        <v>Bruttoeinkommen</v>
      </c>
      <c r="B58" s="222"/>
      <c r="C58" s="259">
        <f>SUM(C54:C57)</f>
        <v>0</v>
      </c>
      <c r="D58" s="222"/>
      <c r="E58" s="222"/>
      <c r="F58" s="223"/>
      <c r="N58" s="9" t="str">
        <f t="shared" si="8"/>
        <v>Getrennt</v>
      </c>
      <c r="O58" s="10">
        <v>1</v>
      </c>
      <c r="Q58" s="186" t="s">
        <v>203</v>
      </c>
      <c r="R58" s="186" t="s">
        <v>214</v>
      </c>
      <c r="U58" t="s">
        <v>38</v>
      </c>
      <c r="V58" t="s">
        <v>330</v>
      </c>
    </row>
    <row r="59" spans="1:22" ht="16.5" hidden="1" outlineLevel="1" thickTop="1" x14ac:dyDescent="0.25">
      <c r="A59" s="258">
        <f t="shared" si="7"/>
        <v>0</v>
      </c>
      <c r="B59" s="222"/>
      <c r="C59" s="260"/>
      <c r="D59" s="222"/>
      <c r="E59" s="222"/>
      <c r="F59" s="223"/>
      <c r="N59" s="9" t="str">
        <f t="shared" si="8"/>
        <v>Verwitwet</v>
      </c>
      <c r="O59" s="10">
        <v>1</v>
      </c>
      <c r="Q59" s="186" t="s">
        <v>201</v>
      </c>
      <c r="R59" s="186" t="s">
        <v>374</v>
      </c>
    </row>
    <row r="60" spans="1:22" ht="15.75" hidden="1" outlineLevel="1" x14ac:dyDescent="0.25">
      <c r="A60" s="258" t="str">
        <f t="shared" si="7"/>
        <v>Franchise</v>
      </c>
      <c r="B60" s="230"/>
      <c r="C60" s="261">
        <f>IF(H11=4,0,IF(H41=1,O65,IF(H41=2,O66,O67)))</f>
        <v>6000</v>
      </c>
      <c r="D60" s="222"/>
      <c r="E60" s="222"/>
      <c r="F60" s="223"/>
      <c r="N60" s="9" t="str">
        <f t="shared" si="8"/>
        <v>Wiederverheiratet</v>
      </c>
      <c r="O60" s="10">
        <v>2</v>
      </c>
      <c r="Q60" s="186" t="s">
        <v>206</v>
      </c>
      <c r="R60" s="186" t="s">
        <v>216</v>
      </c>
      <c r="U60" t="s">
        <v>151</v>
      </c>
      <c r="V60" t="s">
        <v>151</v>
      </c>
    </row>
    <row r="61" spans="1:22" ht="15.75" hidden="1" outlineLevel="1" x14ac:dyDescent="0.25">
      <c r="A61" s="254" t="str">
        <f t="shared" si="7"/>
        <v>Bruttoeinkommen nach Abzug der Franchise</v>
      </c>
      <c r="B61" s="224"/>
      <c r="C61" s="262">
        <f>IF(H11=4,0,IF(H41=1,P65,IF(H41=2,P66,P67)))</f>
        <v>-6000</v>
      </c>
      <c r="D61" s="222"/>
      <c r="E61" s="222"/>
      <c r="F61" s="223"/>
      <c r="N61" s="9" t="str">
        <f t="shared" si="8"/>
        <v>Eingetragene Partnerschaft</v>
      </c>
      <c r="O61" s="10">
        <v>2</v>
      </c>
      <c r="Q61" s="186" t="s">
        <v>205</v>
      </c>
      <c r="R61" s="186" t="s">
        <v>217</v>
      </c>
      <c r="U61" t="s">
        <v>184</v>
      </c>
      <c r="V61" t="s">
        <v>332</v>
      </c>
    </row>
    <row r="62" spans="1:22" ht="15.75" hidden="1" outlineLevel="1" x14ac:dyDescent="0.25">
      <c r="A62" s="254" t="str">
        <f t="shared" si="7"/>
        <v>Persönliches Einkommen</v>
      </c>
      <c r="B62" s="224"/>
      <c r="C62" s="263">
        <f>IF(H11=4,C58,IF(C61&gt;0,ROUNDDOWN(C61,-2),0))</f>
        <v>0</v>
      </c>
      <c r="D62" s="222"/>
      <c r="E62" s="222"/>
      <c r="F62" s="223"/>
      <c r="N62" s="13" t="str">
        <f t="shared" si="8"/>
        <v xml:space="preserve"> Vollwaise (Ledig)</v>
      </c>
      <c r="O62" s="14">
        <v>3</v>
      </c>
      <c r="Q62" s="186" t="s">
        <v>384</v>
      </c>
      <c r="R62" s="186" t="s">
        <v>385</v>
      </c>
      <c r="U62" t="s">
        <v>147</v>
      </c>
      <c r="V62" t="s">
        <v>331</v>
      </c>
    </row>
    <row r="63" spans="1:22" ht="15.75" hidden="1" outlineLevel="1" x14ac:dyDescent="0.25">
      <c r="A63" s="258">
        <f t="shared" si="7"/>
        <v>0</v>
      </c>
      <c r="B63" s="222"/>
      <c r="C63" s="264"/>
      <c r="D63" s="222"/>
      <c r="E63" s="222"/>
      <c r="F63" s="223"/>
      <c r="N63" t="s">
        <v>49</v>
      </c>
      <c r="Q63" s="186"/>
      <c r="R63" s="186"/>
    </row>
    <row r="64" spans="1:22" ht="15.75" hidden="1" outlineLevel="1" x14ac:dyDescent="0.25">
      <c r="A64" s="258">
        <f t="shared" si="7"/>
        <v>0</v>
      </c>
      <c r="B64" s="222"/>
      <c r="C64" s="264"/>
      <c r="D64" s="222"/>
      <c r="E64" s="222"/>
      <c r="F64" s="223"/>
      <c r="O64" s="41" t="s">
        <v>42</v>
      </c>
      <c r="P64" s="8" t="s">
        <v>43</v>
      </c>
      <c r="Q64" s="8" t="s">
        <v>44</v>
      </c>
      <c r="R64" s="188"/>
    </row>
    <row r="65" spans="1:22" ht="15.75" hidden="1" outlineLevel="1" x14ac:dyDescent="0.25">
      <c r="A65" s="258">
        <f t="shared" si="7"/>
        <v>0</v>
      </c>
      <c r="B65" s="222"/>
      <c r="C65" s="264"/>
      <c r="D65" s="222"/>
      <c r="E65" s="222"/>
      <c r="F65" s="223"/>
      <c r="N65" t="s">
        <v>207</v>
      </c>
      <c r="O65" s="42">
        <f>IF(H45=0,(IF(30%*C58&gt;6000,30%*C58,6000)),(IF(30%*C58&gt;30000,30%*C58,30000)))</f>
        <v>6000</v>
      </c>
      <c r="P65" s="42">
        <f>C58-O65</f>
        <v>-6000</v>
      </c>
      <c r="Q65" s="42">
        <f>IF(P65&lt;0,C67,P65+C67)</f>
        <v>0</v>
      </c>
      <c r="R65" s="189"/>
    </row>
    <row r="66" spans="1:22" ht="15.75" collapsed="1" x14ac:dyDescent="0.25">
      <c r="A66" s="258" t="str">
        <f t="shared" si="7"/>
        <v>Nettovermögen (Rubrik 3500)</v>
      </c>
      <c r="B66" s="222"/>
      <c r="C66" s="256">
        <v>0</v>
      </c>
      <c r="D66" s="222"/>
      <c r="E66" s="222"/>
      <c r="F66" s="223"/>
      <c r="N66" t="s">
        <v>47</v>
      </c>
      <c r="O66" s="42">
        <f>IF(H45=0,(IF(50%*C58&gt;12000,50%*C58,12000)),(IF(50%*C58&gt;45000,50%*C58,45000)))</f>
        <v>12000</v>
      </c>
      <c r="P66" s="42">
        <f>C58-O66</f>
        <v>-12000</v>
      </c>
      <c r="Q66" s="42">
        <f>IF(P66&lt;0,C67,P66+C67)</f>
        <v>0</v>
      </c>
      <c r="R66" s="189"/>
      <c r="U66" t="s">
        <v>313</v>
      </c>
      <c r="V66" t="s">
        <v>421</v>
      </c>
    </row>
    <row r="67" spans="1:22" hidden="1" outlineLevel="1" x14ac:dyDescent="0.25">
      <c r="A67" s="224" t="s">
        <v>40</v>
      </c>
      <c r="B67" s="231">
        <v>0.05</v>
      </c>
      <c r="C67" s="165">
        <f>C66*B67</f>
        <v>0</v>
      </c>
      <c r="D67" s="222"/>
      <c r="E67" s="222"/>
      <c r="F67" s="223"/>
      <c r="N67" t="s">
        <v>110</v>
      </c>
      <c r="O67" s="42">
        <f>IF(30%*C58&gt;30000,30%*C58,30000)</f>
        <v>30000</v>
      </c>
      <c r="P67" s="42">
        <f>C58-O67</f>
        <v>-30000</v>
      </c>
      <c r="Q67" s="42">
        <f>IF(P67&lt;0,C67,P67+C67)</f>
        <v>0</v>
      </c>
      <c r="R67" s="189"/>
      <c r="U67" t="s">
        <v>40</v>
      </c>
      <c r="V67" s="139" t="s">
        <v>328</v>
      </c>
    </row>
    <row r="68" spans="1:22" hidden="1" outlineLevel="1" x14ac:dyDescent="0.25">
      <c r="A68" s="222"/>
      <c r="B68" s="222"/>
      <c r="D68" s="222"/>
      <c r="E68" s="222"/>
      <c r="F68" s="223"/>
      <c r="Q68" s="186"/>
      <c r="R68" s="186"/>
    </row>
    <row r="69" spans="1:22" s="69" customFormat="1" hidden="1" outlineLevel="1" x14ac:dyDescent="0.25">
      <c r="A69" s="222"/>
      <c r="B69" s="222"/>
      <c r="C69"/>
      <c r="D69" s="222"/>
      <c r="E69" s="222"/>
      <c r="F69" s="223"/>
      <c r="G69" s="4"/>
      <c r="H69" s="4"/>
      <c r="I69" s="4"/>
      <c r="J69" s="4"/>
      <c r="K69" s="4"/>
      <c r="L69" s="4"/>
      <c r="M69"/>
      <c r="N69"/>
      <c r="O69"/>
      <c r="P69"/>
      <c r="Q69" s="186"/>
      <c r="R69" s="186"/>
      <c r="S69"/>
      <c r="T69"/>
    </row>
    <row r="70" spans="1:22" s="69" customFormat="1" collapsed="1" x14ac:dyDescent="0.25">
      <c r="A70" s="222"/>
      <c r="B70" s="222"/>
      <c r="C70" s="222"/>
      <c r="D70" s="222"/>
      <c r="E70" s="222"/>
      <c r="F70" s="223"/>
      <c r="G70" s="4"/>
      <c r="H70" s="4"/>
      <c r="I70" s="4"/>
      <c r="J70" s="4"/>
      <c r="K70" s="4"/>
      <c r="L70" s="4"/>
      <c r="M70"/>
      <c r="N70"/>
      <c r="O70"/>
      <c r="P70"/>
      <c r="Q70" s="186"/>
      <c r="R70" s="186"/>
      <c r="S70"/>
      <c r="T70"/>
    </row>
    <row r="71" spans="1:22" s="69" customFormat="1" ht="18.75" x14ac:dyDescent="0.3">
      <c r="A71" s="252" t="str">
        <f>IF($H$3=1,U71,V71)</f>
        <v>Familiäre Situation der Eltern</v>
      </c>
      <c r="B71" s="252"/>
      <c r="C71" s="253"/>
      <c r="D71" s="253"/>
      <c r="E71" s="253"/>
      <c r="F71" s="253"/>
      <c r="G71" s="47"/>
      <c r="H71" s="47"/>
      <c r="I71" s="47"/>
      <c r="J71" s="47"/>
      <c r="K71" s="47"/>
      <c r="L71" s="47"/>
      <c r="M71" s="46"/>
      <c r="N71" s="46"/>
      <c r="O71" s="46"/>
      <c r="Q71" s="190"/>
      <c r="R71" s="190"/>
      <c r="U71" s="69" t="s">
        <v>258</v>
      </c>
      <c r="V71" s="155" t="s">
        <v>341</v>
      </c>
    </row>
    <row r="72" spans="1:22" s="69" customFormat="1" x14ac:dyDescent="0.25">
      <c r="A72" s="224"/>
      <c r="B72" s="224"/>
      <c r="C72" s="232"/>
      <c r="D72" s="222"/>
      <c r="E72" s="222"/>
      <c r="F72" s="223"/>
      <c r="G72" s="123"/>
      <c r="H72" s="123"/>
      <c r="I72" s="123"/>
      <c r="J72" s="123"/>
      <c r="K72" s="123"/>
      <c r="L72" s="123"/>
      <c r="N72" s="69" t="s">
        <v>240</v>
      </c>
      <c r="Q72" s="190"/>
      <c r="R72" s="190"/>
    </row>
    <row r="73" spans="1:22" s="69" customFormat="1" ht="15.75" x14ac:dyDescent="0.25">
      <c r="A73" s="254" t="str">
        <f>IF($H$3=1,U73,V73)</f>
        <v>Aktuelle familiäre Situation der Eltern</v>
      </c>
      <c r="B73" s="224"/>
      <c r="C73" s="222"/>
      <c r="D73" s="222"/>
      <c r="E73" s="222"/>
      <c r="F73" s="223"/>
      <c r="G73" s="123"/>
      <c r="H73" s="123"/>
      <c r="I73" s="123"/>
      <c r="J73" s="123"/>
      <c r="K73" s="123"/>
      <c r="L73" s="123"/>
      <c r="Q73" s="190"/>
      <c r="R73" s="190"/>
      <c r="U73" s="69" t="s">
        <v>252</v>
      </c>
      <c r="V73" s="196" t="s">
        <v>340</v>
      </c>
    </row>
    <row r="74" spans="1:22" s="69" customFormat="1" ht="33.75" customHeight="1" x14ac:dyDescent="0.25">
      <c r="A74" s="311" t="s">
        <v>410</v>
      </c>
      <c r="B74" s="317"/>
      <c r="C74" s="317"/>
      <c r="D74" s="317"/>
      <c r="E74" s="317"/>
      <c r="F74" s="312"/>
      <c r="G74" s="123"/>
      <c r="H74" s="153">
        <f>VLOOKUP(A74,N74:O78,2,FALSE)</f>
        <v>1</v>
      </c>
      <c r="I74" s="123"/>
      <c r="J74" s="123"/>
      <c r="K74" s="123"/>
      <c r="L74" s="123"/>
      <c r="N74" s="6" t="str">
        <f t="shared" ref="N74:N78" si="9">IF($H$3=1,Q74,R74)</f>
        <v>Miteinander verheiratete Eltern (oder verwitwet)</v>
      </c>
      <c r="O74" s="7">
        <v>1</v>
      </c>
      <c r="Q74" s="190" t="s">
        <v>375</v>
      </c>
      <c r="R74" s="190" t="s">
        <v>410</v>
      </c>
      <c r="V74" s="196"/>
    </row>
    <row r="75" spans="1:22" s="69" customFormat="1" x14ac:dyDescent="0.25">
      <c r="A75" s="224"/>
      <c r="B75" s="224"/>
      <c r="C75" s="222"/>
      <c r="D75" s="222"/>
      <c r="E75" s="222"/>
      <c r="F75" s="223"/>
      <c r="G75" s="123"/>
      <c r="H75" s="123"/>
      <c r="I75" s="123"/>
      <c r="J75" s="123"/>
      <c r="K75" s="123"/>
      <c r="L75" s="123"/>
      <c r="N75" s="9" t="str">
        <f t="shared" si="9"/>
        <v>Nicht miteinander verheiratete/getrennte/geschiedene Eltern mit Obhut bei der Mutter (Vater zahlt Unterhaltsbeitrag)</v>
      </c>
      <c r="O75" s="10">
        <v>2</v>
      </c>
      <c r="Q75" s="190" t="s">
        <v>268</v>
      </c>
      <c r="R75" s="190" t="s">
        <v>411</v>
      </c>
    </row>
    <row r="76" spans="1:22" s="69" customFormat="1" ht="15.75" x14ac:dyDescent="0.25">
      <c r="A76" s="254" t="str">
        <f t="shared" ref="A76:A77" si="10">IF($H$3=1,U76,V76)</f>
        <v>Ist Ihre Mutter wiederverheiratet ?</v>
      </c>
      <c r="B76" s="224"/>
      <c r="C76" s="257" t="s">
        <v>364</v>
      </c>
      <c r="D76" s="222"/>
      <c r="E76" s="222"/>
      <c r="F76" s="222"/>
      <c r="H76" s="5">
        <f>VLOOKUP(C76,N37:O38,2,FALSE)</f>
        <v>0</v>
      </c>
      <c r="K76" s="123"/>
      <c r="L76" s="123"/>
      <c r="N76" s="9" t="str">
        <f t="shared" si="9"/>
        <v>Nicht miteinander verheiratete/getrennte/geschiedene Eltern mit Obhut beim Vater (Mutter zahlt Unterhaltsbeitrag)</v>
      </c>
      <c r="O76" s="10">
        <v>3</v>
      </c>
      <c r="Q76" s="190" t="s">
        <v>280</v>
      </c>
      <c r="R76" s="190" t="s">
        <v>412</v>
      </c>
      <c r="U76" s="69" t="s">
        <v>253</v>
      </c>
      <c r="V76" s="69" t="s">
        <v>342</v>
      </c>
    </row>
    <row r="77" spans="1:22" s="69" customFormat="1" ht="15.75" x14ac:dyDescent="0.25">
      <c r="A77" s="254" t="str">
        <f t="shared" si="10"/>
        <v>Ist Ihr Vater wiederverheiratet ?</v>
      </c>
      <c r="B77" s="224"/>
      <c r="C77" s="257" t="s">
        <v>364</v>
      </c>
      <c r="D77" s="222"/>
      <c r="E77" s="222"/>
      <c r="F77" s="222"/>
      <c r="H77" s="5">
        <f>VLOOKUP(C77,N37:O38,2,FALSE)</f>
        <v>0</v>
      </c>
      <c r="K77" s="123"/>
      <c r="L77" s="123"/>
      <c r="N77" s="9" t="str">
        <f t="shared" si="9"/>
        <v>Nicht miteinander verheiratete/getrennte/geschiedene Eltern mit alternierender Obhut (Eltern zahlen keine Unterhaltsbeiträge)</v>
      </c>
      <c r="O77" s="10">
        <v>4</v>
      </c>
      <c r="Q77" s="190" t="s">
        <v>269</v>
      </c>
      <c r="R77" s="190" t="s">
        <v>413</v>
      </c>
      <c r="U77" s="69" t="s">
        <v>254</v>
      </c>
      <c r="V77" s="69" t="s">
        <v>343</v>
      </c>
    </row>
    <row r="78" spans="1:22" s="69" customFormat="1" x14ac:dyDescent="0.25">
      <c r="A78" s="224"/>
      <c r="B78" s="224"/>
      <c r="C78" s="222"/>
      <c r="D78" s="222"/>
      <c r="E78" s="222"/>
      <c r="F78" s="222"/>
      <c r="H78" s="154"/>
      <c r="K78" s="123"/>
      <c r="L78" s="123"/>
      <c r="N78" s="13" t="str">
        <f t="shared" si="9"/>
        <v>Beide Elternteile verstorben</v>
      </c>
      <c r="O78" s="14">
        <v>5</v>
      </c>
      <c r="Q78" s="190" t="s">
        <v>376</v>
      </c>
      <c r="R78" s="190" t="s">
        <v>414</v>
      </c>
    </row>
    <row r="79" spans="1:22" s="69" customFormat="1" ht="18.75" x14ac:dyDescent="0.3">
      <c r="A79" s="252" t="str">
        <f>IF($H$3=1,U79,V79)</f>
        <v>Berechnung des massgebenden Einkommens der Eltern</v>
      </c>
      <c r="B79" s="252"/>
      <c r="C79" s="253"/>
      <c r="D79" s="253"/>
      <c r="E79" s="253"/>
      <c r="F79" s="253"/>
      <c r="H79" s="154"/>
      <c r="K79" s="123"/>
      <c r="L79" s="123"/>
      <c r="N79" s="158"/>
      <c r="O79" s="158"/>
      <c r="Q79" s="190"/>
      <c r="R79" s="190"/>
      <c r="U79" s="69" t="s">
        <v>259</v>
      </c>
      <c r="V79" s="69" t="s">
        <v>344</v>
      </c>
    </row>
    <row r="80" spans="1:22" x14ac:dyDescent="0.25">
      <c r="A80" s="224"/>
      <c r="B80" s="224"/>
      <c r="C80" s="222"/>
      <c r="D80" s="222"/>
      <c r="E80" s="222"/>
      <c r="F80" s="222"/>
      <c r="G80" s="69"/>
      <c r="H80" s="154"/>
      <c r="I80" s="69"/>
      <c r="J80" s="69"/>
      <c r="K80" s="123"/>
      <c r="L80" s="123"/>
      <c r="M80" s="69"/>
      <c r="N80" s="83"/>
      <c r="O80" s="83"/>
      <c r="P80" s="69"/>
      <c r="Q80" s="190"/>
      <c r="R80" s="190"/>
      <c r="S80" s="69"/>
      <c r="T80" s="69"/>
    </row>
    <row r="81" spans="1:22" ht="64.5" customHeight="1" x14ac:dyDescent="0.25">
      <c r="A81" s="301" t="str">
        <f t="shared" ref="A81" si="11">IF($H$3=1,U81,V81)</f>
        <v>Bei den Steuerangaben benötigen Sie die Steuerveranlagung 2015 Ihrer Eltern. 
Es müssen nur die Spalten mit einer Überschrift ausgefüllt werden.
Die entsprechende Rubrik finden Sie in der Klammer (z.B. 2400).
Falls Sie eine berufsbegleitende Weiterbildung absolvieren, benötigen Sie die Steuerangaben Ihrer Eltern nicht.</v>
      </c>
      <c r="B81" s="301"/>
      <c r="C81" s="301"/>
      <c r="D81" s="301"/>
      <c r="E81" s="301"/>
      <c r="F81" s="301"/>
      <c r="G81" s="69"/>
      <c r="H81" s="154"/>
      <c r="I81" s="69"/>
      <c r="J81" s="69"/>
      <c r="K81" s="123"/>
      <c r="L81" s="123"/>
      <c r="M81" s="69"/>
      <c r="N81" s="83"/>
      <c r="O81" s="83"/>
      <c r="P81" s="69"/>
      <c r="Q81" s="190"/>
      <c r="R81" s="190"/>
      <c r="S81" s="69"/>
      <c r="T81" s="69"/>
      <c r="U81" s="194" t="s">
        <v>388</v>
      </c>
      <c r="V81" s="218" t="s">
        <v>399</v>
      </c>
    </row>
    <row r="82" spans="1:22" ht="15.75" thickBot="1" x14ac:dyDescent="0.3">
      <c r="A82" s="222"/>
      <c r="B82" s="222"/>
      <c r="C82" s="222"/>
      <c r="D82" s="222"/>
      <c r="E82" s="222"/>
      <c r="F82" s="223"/>
      <c r="G82" s="123"/>
      <c r="H82" s="123"/>
      <c r="I82" s="123"/>
      <c r="J82" s="123"/>
      <c r="K82" s="123"/>
      <c r="L82" s="123"/>
      <c r="M82" s="69"/>
      <c r="Q82" s="186"/>
      <c r="R82" s="186"/>
      <c r="U82" t="s">
        <v>306</v>
      </c>
      <c r="V82" t="s">
        <v>420</v>
      </c>
    </row>
    <row r="83" spans="1:22" ht="16.5" thickBot="1" x14ac:dyDescent="0.3">
      <c r="A83" s="265" t="str">
        <f>IF($H$3=1,U83,V83)</f>
        <v>Beschreibung</v>
      </c>
      <c r="B83" s="266" t="str">
        <f>IF($H$3=1,U82,V82)</f>
        <v>Rubrik</v>
      </c>
      <c r="C83" s="267" t="str">
        <f>IF(OR(H11=4,H74=5),"",IF(H74=1,H83,IF(H74=2,H84,IF(H74=3,H85,H85))))</f>
        <v>Eltern</v>
      </c>
      <c r="D83" s="267" t="str">
        <f>IF(OR(H11=4,H74=5),"",IF(H74=4,H84,""))</f>
        <v/>
      </c>
      <c r="E83" s="222"/>
      <c r="F83" s="223"/>
      <c r="H83" s="5" t="str">
        <f>IF($H$3=1,Q83,R83)</f>
        <v>Eltern</v>
      </c>
      <c r="N83" s="31" t="s">
        <v>29</v>
      </c>
      <c r="O83" s="32" t="s">
        <v>30</v>
      </c>
      <c r="Q83" s="186" t="s">
        <v>314</v>
      </c>
      <c r="R83" s="186" t="s">
        <v>379</v>
      </c>
      <c r="U83" t="s">
        <v>307</v>
      </c>
      <c r="V83" s="125" t="s">
        <v>400</v>
      </c>
    </row>
    <row r="84" spans="1:22" ht="17.25" thickTop="1" thickBot="1" x14ac:dyDescent="0.3">
      <c r="A84" s="291" t="str">
        <f t="shared" ref="A84:A101" si="12">IF($H$3=1,U84,V84)</f>
        <v>Nettoeinkommen</v>
      </c>
      <c r="B84" s="292" t="s">
        <v>293</v>
      </c>
      <c r="C84" s="268">
        <v>0</v>
      </c>
      <c r="D84" s="269">
        <v>0</v>
      </c>
      <c r="E84" s="222"/>
      <c r="F84" s="223"/>
      <c r="H84" s="5" t="str">
        <f>IF($H$3=1,Q84,R84)</f>
        <v>Mutter</v>
      </c>
      <c r="N84" s="33" t="s">
        <v>51</v>
      </c>
      <c r="O84" s="34" t="s">
        <v>52</v>
      </c>
      <c r="Q84" s="186" t="s">
        <v>377</v>
      </c>
      <c r="R84" s="186" t="s">
        <v>380</v>
      </c>
      <c r="U84" t="s">
        <v>50</v>
      </c>
      <c r="V84" t="s">
        <v>345</v>
      </c>
    </row>
    <row r="85" spans="1:22" ht="16.5" thickBot="1" x14ac:dyDescent="0.3">
      <c r="A85" s="293" t="str">
        <f t="shared" si="12"/>
        <v>Vermögne - Total Aktiven</v>
      </c>
      <c r="B85" s="294" t="s">
        <v>294</v>
      </c>
      <c r="C85" s="270">
        <v>0</v>
      </c>
      <c r="D85" s="271">
        <v>0</v>
      </c>
      <c r="E85" s="222"/>
      <c r="F85" s="223"/>
      <c r="H85" s="5" t="str">
        <f>IF($H$3=1,Q85,R85)</f>
        <v>Vater</v>
      </c>
      <c r="N85" s="36" t="s">
        <v>53</v>
      </c>
      <c r="O85" s="37" t="s">
        <v>54</v>
      </c>
      <c r="Q85" s="186" t="s">
        <v>378</v>
      </c>
      <c r="R85" s="186" t="s">
        <v>381</v>
      </c>
      <c r="U85" t="s">
        <v>281</v>
      </c>
      <c r="V85" t="s">
        <v>346</v>
      </c>
    </row>
    <row r="86" spans="1:22" ht="16.5" thickBot="1" x14ac:dyDescent="0.3">
      <c r="A86" s="293" t="str">
        <f t="shared" si="12"/>
        <v>Private Gebäude in der Wohngemeinde</v>
      </c>
      <c r="B86" s="295" t="s">
        <v>295</v>
      </c>
      <c r="C86" s="270">
        <v>0</v>
      </c>
      <c r="D86" s="271">
        <v>0</v>
      </c>
      <c r="E86" s="222"/>
      <c r="F86" s="223"/>
      <c r="N86" s="36" t="s">
        <v>55</v>
      </c>
      <c r="O86" s="34" t="s">
        <v>56</v>
      </c>
      <c r="Q86" s="186"/>
      <c r="R86" s="186"/>
      <c r="U86" t="s">
        <v>282</v>
      </c>
      <c r="V86" t="s">
        <v>347</v>
      </c>
    </row>
    <row r="87" spans="1:22" ht="16.5" thickBot="1" x14ac:dyDescent="0.3">
      <c r="A87" s="293" t="str">
        <f t="shared" si="12"/>
        <v>Private Gebäude ausserhalb der Wohngemeinde</v>
      </c>
      <c r="B87" s="295" t="s">
        <v>296</v>
      </c>
      <c r="C87" s="270">
        <v>0</v>
      </c>
      <c r="D87" s="271">
        <v>0</v>
      </c>
      <c r="E87" s="222"/>
      <c r="F87" s="223"/>
      <c r="N87" s="36" t="s">
        <v>58</v>
      </c>
      <c r="O87" s="37" t="s">
        <v>59</v>
      </c>
      <c r="Q87" s="186"/>
      <c r="R87" s="186"/>
      <c r="U87" t="s">
        <v>283</v>
      </c>
      <c r="V87" t="s">
        <v>348</v>
      </c>
    </row>
    <row r="88" spans="1:22" ht="16.5" hidden="1" outlineLevel="1" thickBot="1" x14ac:dyDescent="0.3">
      <c r="A88" s="293">
        <f t="shared" si="12"/>
        <v>0</v>
      </c>
      <c r="B88" s="296" t="s">
        <v>57</v>
      </c>
      <c r="C88" s="272">
        <f>C86+C87</f>
        <v>0</v>
      </c>
      <c r="D88" s="273">
        <f>D86+D87</f>
        <v>0</v>
      </c>
      <c r="E88" s="222"/>
      <c r="F88" s="223"/>
      <c r="N88" s="36" t="s">
        <v>60</v>
      </c>
      <c r="O88" s="34" t="s">
        <v>61</v>
      </c>
      <c r="Q88" s="186"/>
      <c r="R88" s="186"/>
    </row>
    <row r="89" spans="1:22" ht="16.5" collapsed="1" thickBot="1" x14ac:dyDescent="0.3">
      <c r="A89" s="293" t="str">
        <f t="shared" si="12"/>
        <v>Total Abzüge</v>
      </c>
      <c r="B89" s="294" t="s">
        <v>297</v>
      </c>
      <c r="C89" s="270">
        <v>0</v>
      </c>
      <c r="D89" s="271">
        <v>0</v>
      </c>
      <c r="E89" s="222"/>
      <c r="F89" s="223"/>
      <c r="N89" s="49"/>
      <c r="O89" s="50"/>
      <c r="Q89" s="186"/>
      <c r="R89" s="186"/>
      <c r="U89" t="s">
        <v>284</v>
      </c>
      <c r="V89" t="s">
        <v>349</v>
      </c>
    </row>
    <row r="90" spans="1:22" ht="16.5" thickBot="1" x14ac:dyDescent="0.3">
      <c r="A90" s="293" t="str">
        <f t="shared" si="12"/>
        <v>Säule 3a - Steuerpflichtiger</v>
      </c>
      <c r="B90" s="295" t="s">
        <v>298</v>
      </c>
      <c r="C90" s="270">
        <v>0</v>
      </c>
      <c r="D90" s="271">
        <v>0</v>
      </c>
      <c r="E90" s="222"/>
      <c r="F90" s="223"/>
      <c r="N90" s="36" t="s">
        <v>62</v>
      </c>
      <c r="O90" s="34" t="s">
        <v>63</v>
      </c>
      <c r="Q90" s="186"/>
      <c r="R90" s="186"/>
      <c r="U90" t="s">
        <v>285</v>
      </c>
      <c r="V90" t="s">
        <v>350</v>
      </c>
    </row>
    <row r="91" spans="1:22" ht="16.5" thickBot="1" x14ac:dyDescent="0.3">
      <c r="A91" s="293" t="str">
        <f t="shared" si="12"/>
        <v>Säule 3a - Ehefrau</v>
      </c>
      <c r="B91" s="294" t="s">
        <v>299</v>
      </c>
      <c r="C91" s="270">
        <v>0</v>
      </c>
      <c r="D91" s="271">
        <v>0</v>
      </c>
      <c r="E91" s="222"/>
      <c r="F91" s="223"/>
      <c r="N91" s="36" t="s">
        <v>65</v>
      </c>
      <c r="O91" s="37" t="s">
        <v>66</v>
      </c>
      <c r="Q91" s="186"/>
      <c r="R91" s="186"/>
      <c r="U91" t="s">
        <v>286</v>
      </c>
      <c r="V91" t="s">
        <v>351</v>
      </c>
    </row>
    <row r="92" spans="1:22" ht="16.5" hidden="1" outlineLevel="1" thickBot="1" x14ac:dyDescent="0.3">
      <c r="A92" s="293">
        <f t="shared" si="12"/>
        <v>0</v>
      </c>
      <c r="B92" s="296" t="s">
        <v>64</v>
      </c>
      <c r="C92" s="274">
        <f>C90+C91</f>
        <v>0</v>
      </c>
      <c r="D92" s="275">
        <f>D90+D91</f>
        <v>0</v>
      </c>
      <c r="E92" s="222"/>
      <c r="F92" s="223"/>
      <c r="N92" s="36" t="s">
        <v>68</v>
      </c>
      <c r="O92" s="34" t="s">
        <v>69</v>
      </c>
      <c r="Q92" s="186"/>
      <c r="R92" s="186"/>
    </row>
    <row r="93" spans="1:22" ht="16.5" hidden="1" outlineLevel="1" thickBot="1" x14ac:dyDescent="0.3">
      <c r="A93" s="293">
        <f t="shared" si="12"/>
        <v>0</v>
      </c>
      <c r="B93" s="296" t="s">
        <v>67</v>
      </c>
      <c r="C93" s="276">
        <f>IF(AND(C90&gt;0,C91&gt;0),2*H93,H93)</f>
        <v>6739</v>
      </c>
      <c r="D93" s="272">
        <f>IF(AND(D90&gt;0,D91&gt;0),2*H93,H93)</f>
        <v>6739</v>
      </c>
      <c r="E93" s="222"/>
      <c r="F93" s="223"/>
      <c r="H93" s="35">
        <v>6739</v>
      </c>
      <c r="N93" s="49"/>
      <c r="O93" s="50"/>
      <c r="Q93" s="186"/>
      <c r="R93" s="186"/>
    </row>
    <row r="94" spans="1:22" ht="16.5" hidden="1" outlineLevel="1" thickBot="1" x14ac:dyDescent="0.3">
      <c r="A94" s="293">
        <f t="shared" si="12"/>
        <v>0</v>
      </c>
      <c r="B94" s="296" t="s">
        <v>70</v>
      </c>
      <c r="C94" s="272">
        <f>IF(C92&gt;C93,C93,C92)</f>
        <v>0</v>
      </c>
      <c r="D94" s="273">
        <f>IF(D92&gt;D93,D93,D92)</f>
        <v>0</v>
      </c>
      <c r="E94" s="222"/>
      <c r="F94" s="223"/>
      <c r="N94" s="36" t="s">
        <v>71</v>
      </c>
      <c r="O94" s="34" t="s">
        <v>72</v>
      </c>
      <c r="Q94" s="186"/>
      <c r="R94" s="186"/>
    </row>
    <row r="95" spans="1:22" ht="16.5" collapsed="1" thickBot="1" x14ac:dyDescent="0.3">
      <c r="A95" s="293" t="str">
        <f t="shared" si="12"/>
        <v>Liegenschaften im Wallis</v>
      </c>
      <c r="B95" s="295" t="s">
        <v>300</v>
      </c>
      <c r="C95" s="270">
        <v>0</v>
      </c>
      <c r="D95" s="271">
        <v>0</v>
      </c>
      <c r="E95" s="222"/>
      <c r="F95" s="223"/>
      <c r="N95" s="36" t="s">
        <v>73</v>
      </c>
      <c r="O95" s="37" t="s">
        <v>74</v>
      </c>
      <c r="Q95" s="186"/>
      <c r="R95" s="186"/>
      <c r="U95" t="s">
        <v>287</v>
      </c>
      <c r="V95" t="s">
        <v>352</v>
      </c>
    </row>
    <row r="96" spans="1:22" ht="16.5" thickBot="1" x14ac:dyDescent="0.3">
      <c r="A96" s="293" t="str">
        <f t="shared" si="12"/>
        <v>Liegenschaften gelegen in einem anderen Schweizer Kanton</v>
      </c>
      <c r="B96" s="295" t="s">
        <v>301</v>
      </c>
      <c r="C96" s="270">
        <v>0</v>
      </c>
      <c r="D96" s="271">
        <v>0</v>
      </c>
      <c r="E96" s="222"/>
      <c r="F96" s="223"/>
      <c r="N96" s="49"/>
      <c r="O96" s="51"/>
      <c r="Q96" s="186"/>
      <c r="R96" s="186"/>
      <c r="U96" t="s">
        <v>288</v>
      </c>
      <c r="V96" t="s">
        <v>353</v>
      </c>
    </row>
    <row r="97" spans="1:22" ht="16.5" thickBot="1" x14ac:dyDescent="0.3">
      <c r="A97" s="293" t="str">
        <f t="shared" si="12"/>
        <v>Liegenschaften gelegen im Ausland</v>
      </c>
      <c r="B97" s="294" t="s">
        <v>302</v>
      </c>
      <c r="C97" s="270">
        <v>0</v>
      </c>
      <c r="D97" s="271">
        <v>0</v>
      </c>
      <c r="E97" s="222"/>
      <c r="F97" s="223"/>
      <c r="N97" s="36" t="s">
        <v>76</v>
      </c>
      <c r="O97" s="37" t="s">
        <v>77</v>
      </c>
      <c r="Q97" s="186"/>
      <c r="R97" s="186"/>
      <c r="U97" t="s">
        <v>289</v>
      </c>
      <c r="V97" t="s">
        <v>354</v>
      </c>
    </row>
    <row r="98" spans="1:22" ht="16.5" hidden="1" outlineLevel="1" thickBot="1" x14ac:dyDescent="0.3">
      <c r="A98" s="293">
        <f t="shared" si="12"/>
        <v>0</v>
      </c>
      <c r="B98" s="296" t="s">
        <v>75</v>
      </c>
      <c r="C98" s="272">
        <f>C95+C96+C97</f>
        <v>0</v>
      </c>
      <c r="D98" s="273">
        <f>D95+D96+D97</f>
        <v>0</v>
      </c>
      <c r="E98" s="222"/>
      <c r="F98" s="223"/>
      <c r="N98" s="49"/>
      <c r="O98" s="51"/>
      <c r="Q98" s="186"/>
      <c r="R98" s="186"/>
    </row>
    <row r="99" spans="1:22" ht="16.5" collapsed="1" thickBot="1" x14ac:dyDescent="0.3">
      <c r="A99" s="293" t="str">
        <f t="shared" si="12"/>
        <v>Bezahlte Unterhaltsbeiträge</v>
      </c>
      <c r="B99" s="294" t="s">
        <v>303</v>
      </c>
      <c r="C99" s="270">
        <v>0</v>
      </c>
      <c r="D99" s="271">
        <v>0</v>
      </c>
      <c r="E99" s="222"/>
      <c r="F99" s="223"/>
      <c r="N99" s="36" t="s">
        <v>79</v>
      </c>
      <c r="O99" s="37" t="s">
        <v>80</v>
      </c>
      <c r="Q99" s="186"/>
      <c r="R99" s="186"/>
      <c r="U99" t="s">
        <v>290</v>
      </c>
      <c r="V99" t="s">
        <v>355</v>
      </c>
    </row>
    <row r="100" spans="1:22" ht="16.5" thickBot="1" x14ac:dyDescent="0.3">
      <c r="A100" s="293" t="str">
        <f t="shared" si="12"/>
        <v>Kapitalleistungen bezogen - Steuerpflichtiger</v>
      </c>
      <c r="B100" s="295" t="s">
        <v>304</v>
      </c>
      <c r="C100" s="270">
        <v>0</v>
      </c>
      <c r="D100" s="271">
        <v>0</v>
      </c>
      <c r="E100" s="222"/>
      <c r="F100" s="223"/>
      <c r="N100" s="49"/>
      <c r="O100" s="51"/>
      <c r="Q100" s="186"/>
      <c r="R100" s="186"/>
      <c r="U100" t="s">
        <v>291</v>
      </c>
      <c r="V100" t="s">
        <v>356</v>
      </c>
    </row>
    <row r="101" spans="1:22" ht="16.5" thickBot="1" x14ac:dyDescent="0.3">
      <c r="A101" s="297" t="str">
        <f t="shared" si="12"/>
        <v>Kapitalleistungen bezogen - Ehefrau</v>
      </c>
      <c r="B101" s="298" t="s">
        <v>305</v>
      </c>
      <c r="C101" s="270">
        <v>0</v>
      </c>
      <c r="D101" s="271">
        <v>0</v>
      </c>
      <c r="E101" s="222"/>
      <c r="F101" s="223"/>
      <c r="N101" s="43" t="s">
        <v>82</v>
      </c>
      <c r="O101" s="37" t="s">
        <v>83</v>
      </c>
      <c r="Q101" s="186"/>
      <c r="R101" s="186"/>
      <c r="U101" t="s">
        <v>292</v>
      </c>
      <c r="V101" t="s">
        <v>357</v>
      </c>
    </row>
    <row r="102" spans="1:22" hidden="1" outlineLevel="1" x14ac:dyDescent="0.25">
      <c r="A102" s="48"/>
      <c r="B102" s="48" t="s">
        <v>81</v>
      </c>
      <c r="C102" s="166">
        <f>C100+C101</f>
        <v>0</v>
      </c>
      <c r="D102" s="167">
        <f>D100+D101</f>
        <v>0</v>
      </c>
      <c r="E102" s="222"/>
      <c r="F102" s="223"/>
      <c r="N102" s="52"/>
      <c r="O102" s="53"/>
      <c r="Q102" s="186"/>
      <c r="R102" s="186"/>
    </row>
    <row r="103" spans="1:22" hidden="1" outlineLevel="1" x14ac:dyDescent="0.25">
      <c r="A103" s="25"/>
      <c r="B103" s="25"/>
      <c r="C103" s="26"/>
      <c r="D103" s="168"/>
      <c r="E103" s="222"/>
      <c r="F103" s="223"/>
      <c r="Q103" s="186"/>
      <c r="R103" s="186"/>
    </row>
    <row r="104" spans="1:22" hidden="1" outlineLevel="1" x14ac:dyDescent="0.25">
      <c r="A104" t="s">
        <v>53</v>
      </c>
      <c r="C104" s="103">
        <f>IF(C88&gt;100000, 100000+(C88-100000)*145%, C88)</f>
        <v>0</v>
      </c>
      <c r="D104" s="169">
        <f>IF(D88&gt;100000, 100000+(D88-100000)*145%, D88)</f>
        <v>0</v>
      </c>
      <c r="E104" s="222"/>
      <c r="F104" s="233"/>
      <c r="G104" s="54"/>
      <c r="H104" s="54"/>
      <c r="I104" s="54"/>
      <c r="J104" s="54"/>
      <c r="K104" s="54"/>
      <c r="L104" s="54"/>
      <c r="Q104" s="186"/>
      <c r="R104" s="186"/>
    </row>
    <row r="105" spans="1:22" hidden="1" outlineLevel="1" x14ac:dyDescent="0.25">
      <c r="A105" t="s">
        <v>55</v>
      </c>
      <c r="C105" s="103">
        <f>C85-C88+C104</f>
        <v>0</v>
      </c>
      <c r="D105" s="169">
        <f>D85-D88+D104</f>
        <v>0</v>
      </c>
      <c r="E105" s="222"/>
      <c r="F105" s="233"/>
      <c r="G105" s="54"/>
      <c r="H105" s="5">
        <f>IF(OR(H11=2,H11=3),IF(OR(C105&gt;1000000,D105&gt;1000000),1,0),0)</f>
        <v>0</v>
      </c>
      <c r="I105" s="56" t="s">
        <v>265</v>
      </c>
      <c r="J105" s="54"/>
      <c r="K105" s="54"/>
      <c r="L105" s="54"/>
      <c r="Q105" s="186"/>
      <c r="R105" s="186"/>
    </row>
    <row r="106" spans="1:22" hidden="1" outlineLevel="1" x14ac:dyDescent="0.25">
      <c r="A106" t="s">
        <v>58</v>
      </c>
      <c r="C106" s="103">
        <f>C105-C89</f>
        <v>0</v>
      </c>
      <c r="D106" s="169">
        <f>D105-D89</f>
        <v>0</v>
      </c>
      <c r="E106" s="222"/>
      <c r="F106" s="233"/>
      <c r="G106" s="54"/>
      <c r="H106" s="54"/>
      <c r="I106" s="54"/>
      <c r="J106" s="54"/>
      <c r="K106" s="54"/>
      <c r="L106" s="54"/>
      <c r="Q106" s="186"/>
      <c r="R106" s="186"/>
    </row>
    <row r="107" spans="1:22" hidden="1" outlineLevel="1" x14ac:dyDescent="0.25">
      <c r="C107" s="22"/>
      <c r="D107" s="168"/>
      <c r="E107" s="234"/>
      <c r="F107" s="223"/>
      <c r="Q107" s="186"/>
      <c r="R107" s="186"/>
    </row>
    <row r="108" spans="1:22" hidden="1" outlineLevel="1" x14ac:dyDescent="0.25">
      <c r="A108" t="s">
        <v>60</v>
      </c>
      <c r="C108" s="103">
        <f>IF(C106&gt;0,5%*C106,0)</f>
        <v>0</v>
      </c>
      <c r="D108" s="169">
        <f>IF(D106&gt;0,5%*D106,0)</f>
        <v>0</v>
      </c>
      <c r="E108" s="222"/>
      <c r="F108" s="233"/>
      <c r="G108" s="54"/>
      <c r="H108" s="54"/>
      <c r="I108" s="54"/>
      <c r="J108" s="54"/>
      <c r="K108" s="54"/>
      <c r="L108" s="54"/>
      <c r="Q108" s="186"/>
      <c r="R108" s="186"/>
    </row>
    <row r="109" spans="1:22" hidden="1" outlineLevel="1" x14ac:dyDescent="0.25">
      <c r="A109" t="s">
        <v>73</v>
      </c>
      <c r="C109" s="103">
        <f>IF(C98&lt;0,-C98,0)</f>
        <v>0</v>
      </c>
      <c r="D109" s="169">
        <f>IF(D98&lt;0,-D98,0)</f>
        <v>0</v>
      </c>
      <c r="E109" s="222"/>
      <c r="F109" s="223"/>
      <c r="Q109" s="186"/>
      <c r="R109" s="186"/>
    </row>
    <row r="110" spans="1:22" hidden="1" outlineLevel="1" x14ac:dyDescent="0.25">
      <c r="C110" s="22"/>
      <c r="D110" s="168"/>
      <c r="E110" s="222"/>
      <c r="F110" s="223"/>
      <c r="Q110" s="186"/>
      <c r="R110" s="186"/>
    </row>
    <row r="111" spans="1:22" hidden="1" outlineLevel="1" x14ac:dyDescent="0.25">
      <c r="A111" t="s">
        <v>84</v>
      </c>
      <c r="C111" s="22"/>
      <c r="D111" s="168"/>
      <c r="E111" s="222"/>
      <c r="F111" s="223"/>
      <c r="Q111" s="186"/>
      <c r="R111" s="186"/>
    </row>
    <row r="112" spans="1:22" hidden="1" outlineLevel="1" x14ac:dyDescent="0.25">
      <c r="B112" t="s">
        <v>85</v>
      </c>
      <c r="C112" s="103">
        <f>C84</f>
        <v>0</v>
      </c>
      <c r="D112" s="169">
        <f>D84</f>
        <v>0</v>
      </c>
      <c r="E112" s="222"/>
      <c r="F112" s="223"/>
      <c r="Q112" s="186"/>
      <c r="R112" s="186"/>
    </row>
    <row r="113" spans="1:24" hidden="1" outlineLevel="1" x14ac:dyDescent="0.25">
      <c r="B113" s="56" t="s">
        <v>86</v>
      </c>
      <c r="C113" s="103">
        <f>C108</f>
        <v>0</v>
      </c>
      <c r="D113" s="169">
        <f>D108</f>
        <v>0</v>
      </c>
      <c r="E113" s="222"/>
      <c r="F113" s="223"/>
      <c r="Q113" s="186"/>
      <c r="R113" s="186"/>
    </row>
    <row r="114" spans="1:24" hidden="1" outlineLevel="1" x14ac:dyDescent="0.25">
      <c r="B114" s="56" t="s">
        <v>87</v>
      </c>
      <c r="C114" s="103">
        <f>C94</f>
        <v>0</v>
      </c>
      <c r="D114" s="169">
        <f>D94</f>
        <v>0</v>
      </c>
      <c r="E114" s="222"/>
      <c r="F114" s="223"/>
      <c r="Q114" s="186"/>
      <c r="R114" s="186"/>
    </row>
    <row r="115" spans="1:24" hidden="1" outlineLevel="1" x14ac:dyDescent="0.25">
      <c r="B115" s="56" t="s">
        <v>88</v>
      </c>
      <c r="C115" s="103">
        <f>C109</f>
        <v>0</v>
      </c>
      <c r="D115" s="169">
        <f>D109</f>
        <v>0</v>
      </c>
      <c r="E115" s="222"/>
      <c r="F115" s="223"/>
      <c r="Q115" s="186"/>
      <c r="R115" s="186"/>
    </row>
    <row r="116" spans="1:24" hidden="1" outlineLevel="1" x14ac:dyDescent="0.25">
      <c r="B116" s="56" t="s">
        <v>89</v>
      </c>
      <c r="C116" s="103">
        <f>C99</f>
        <v>0</v>
      </c>
      <c r="D116" s="169">
        <f>D99</f>
        <v>0</v>
      </c>
      <c r="E116" s="222"/>
      <c r="F116" s="223"/>
      <c r="Q116" s="186"/>
      <c r="R116" s="186"/>
    </row>
    <row r="117" spans="1:24" hidden="1" outlineLevel="1" collapsed="1" x14ac:dyDescent="0.25">
      <c r="B117" s="56" t="s">
        <v>90</v>
      </c>
      <c r="C117" s="103">
        <f>C102</f>
        <v>0</v>
      </c>
      <c r="D117" s="169">
        <f>D102</f>
        <v>0</v>
      </c>
      <c r="E117" s="222"/>
      <c r="F117" s="223"/>
      <c r="Q117" s="186"/>
      <c r="R117" s="186"/>
    </row>
    <row r="118" spans="1:24" ht="15.75" hidden="1" outlineLevel="1" thickBot="1" x14ac:dyDescent="0.3">
      <c r="B118" s="57"/>
      <c r="C118" s="170">
        <f>C112+C113+C114+C115-C116-C117</f>
        <v>0</v>
      </c>
      <c r="D118" s="171">
        <f>D112+D113+D114+D115-D116-D117</f>
        <v>0</v>
      </c>
      <c r="E118" s="222"/>
      <c r="F118" s="223"/>
      <c r="Q118" s="186"/>
      <c r="R118" s="186"/>
    </row>
    <row r="119" spans="1:24" ht="15.75" hidden="1" outlineLevel="1" thickTop="1" x14ac:dyDescent="0.25">
      <c r="D119" s="24"/>
      <c r="E119" s="222"/>
      <c r="F119" s="223"/>
      <c r="Q119" s="186"/>
      <c r="R119" s="186"/>
    </row>
    <row r="120" spans="1:24" hidden="1" outlineLevel="1" x14ac:dyDescent="0.25">
      <c r="A120" s="160" t="s">
        <v>91</v>
      </c>
      <c r="B120" s="160"/>
      <c r="C120" s="164">
        <f>IF(C83="",0,ROUNDDOWN(C118,-2))</f>
        <v>0</v>
      </c>
      <c r="D120" s="172">
        <f>IF(D83="",0,ROUNDDOWN(D118,-2))</f>
        <v>0</v>
      </c>
      <c r="E120" s="222"/>
      <c r="F120" s="223"/>
      <c r="H120" s="5">
        <f>IF(OR(C120&gt;180000,D120&gt;180000),1,0)</f>
        <v>0</v>
      </c>
      <c r="I120" s="56" t="s">
        <v>264</v>
      </c>
      <c r="Q120" s="186"/>
      <c r="R120" s="186"/>
      <c r="U120" t="s">
        <v>91</v>
      </c>
      <c r="V120" t="s">
        <v>358</v>
      </c>
    </row>
    <row r="121" spans="1:24" hidden="1" outlineLevel="1" x14ac:dyDescent="0.25">
      <c r="A121" s="44"/>
      <c r="B121" s="44"/>
      <c r="C121" s="45"/>
      <c r="D121" s="159"/>
      <c r="E121" s="222"/>
      <c r="F121" s="223"/>
      <c r="Q121" s="186"/>
      <c r="R121" s="186"/>
    </row>
    <row r="122" spans="1:24" collapsed="1" x14ac:dyDescent="0.25">
      <c r="A122" s="222"/>
      <c r="B122" s="222"/>
      <c r="C122" s="222"/>
      <c r="D122" s="222"/>
      <c r="E122" s="222"/>
      <c r="F122" s="223"/>
      <c r="Q122" s="186"/>
      <c r="R122" s="186"/>
    </row>
    <row r="123" spans="1:24" ht="18.75" x14ac:dyDescent="0.3">
      <c r="A123" s="252" t="str">
        <f>IF($H$3=1,U123,V123)</f>
        <v>Zusammensetzung der Familie nach Haushalt</v>
      </c>
      <c r="B123" s="252"/>
      <c r="C123" s="253"/>
      <c r="D123" s="253"/>
      <c r="E123" s="253"/>
      <c r="F123" s="253"/>
      <c r="G123" s="47"/>
      <c r="H123" s="47"/>
      <c r="I123" s="47"/>
      <c r="J123" s="47"/>
      <c r="K123" s="47"/>
      <c r="L123" s="47"/>
      <c r="M123" s="46"/>
      <c r="N123" s="46"/>
      <c r="O123" s="46"/>
      <c r="Q123" s="186"/>
      <c r="R123" s="186"/>
      <c r="U123" t="s">
        <v>260</v>
      </c>
      <c r="V123" s="125" t="s">
        <v>401</v>
      </c>
    </row>
    <row r="124" spans="1:24" x14ac:dyDescent="0.25">
      <c r="A124" s="224"/>
      <c r="B124" s="224"/>
      <c r="C124" s="222"/>
      <c r="D124" s="222"/>
      <c r="E124" s="222"/>
      <c r="F124" s="223"/>
      <c r="G124" s="123"/>
      <c r="H124" s="123"/>
      <c r="I124" s="123"/>
      <c r="J124" s="123"/>
      <c r="K124" s="123"/>
      <c r="L124" s="123"/>
      <c r="M124" s="69"/>
      <c r="N124" s="69"/>
      <c r="O124" s="69"/>
      <c r="Q124" s="186"/>
      <c r="R124" s="186"/>
    </row>
    <row r="125" spans="1:24" ht="328.5" customHeight="1" x14ac:dyDescent="0.25">
      <c r="A125" s="301" t="str">
        <f t="shared" ref="A125:F125" si="13">IF($H$3=1,U125,V125)</f>
        <v xml:space="preserve">Anzahl im Haushalt lebende Personen
Es müssen folgende Personen berücksichtigt werden:
- Eltern (inkl. Schwiegereltern)
- minderjährige Kinder
- volljährige Kinder in Ausbildung, auch wenn diese einen eigenen Wohnsitz haben
Vergessen Sie nicht, sich selbst in die Zahl der Kinder in Ausbildung miteinzuschliessen!
Volljährige Kinder, die nicht in Ausbildung sind, müssen nicht erwähnt werden.
Die Zahl der Personen muss nur in die Spalten mit einer Überschrift eingetragen werden.
a) Bei miteinander verheirateten Eltern muss nur eine Spalte ausgefüllt werden.
b) Sind die Eltern getrennt/geschieden/nicht miteinander verheiratet und zahlt ein Elternteil Unterhaltsbeiträge für die Person in Ausbildung, muss nur die Spalte für jenen Elternteil ausgefüllt werden, der keinen Beitrag zahlt.
c) Sind die Eltern getrennt/geschieden/nicht miteinander verheiratet ohne dass ein Unterhaltsbeitrag gezahlt wird, müssen die Spalten für beide Elternteile ausgefüllt werden. In diesem Fall tragen Sie die Anzahl Kinder (gemeinsame Kinder Ihrer Eltern, Sie eingeschlossen) bei einem Elternteil unter «Kinder im Vorschul- oder Schulalter» bzw. «Kinder in postobligatorischer Ausbildung» ein und halten diese Zahl beim anderen Elternteil unter «beim anderen Elternteil lebende Geschwister» fest.
</v>
      </c>
      <c r="B125" s="306">
        <f t="shared" si="13"/>
        <v>0</v>
      </c>
      <c r="C125" s="306">
        <f t="shared" si="13"/>
        <v>0</v>
      </c>
      <c r="D125" s="306">
        <f t="shared" si="13"/>
        <v>0</v>
      </c>
      <c r="E125" s="306">
        <f t="shared" si="13"/>
        <v>0</v>
      </c>
      <c r="F125" s="306">
        <f t="shared" si="13"/>
        <v>0</v>
      </c>
      <c r="G125" s="123"/>
      <c r="H125" s="123"/>
      <c r="I125" s="123"/>
      <c r="J125" s="123"/>
      <c r="K125" s="123"/>
      <c r="L125" s="123"/>
      <c r="M125" s="69"/>
      <c r="N125" s="69"/>
      <c r="O125" s="69"/>
      <c r="Q125" s="186"/>
      <c r="R125" s="186"/>
      <c r="U125" s="194" t="s">
        <v>382</v>
      </c>
      <c r="V125" s="218" t="s">
        <v>402</v>
      </c>
    </row>
    <row r="126" spans="1:24" x14ac:dyDescent="0.25">
      <c r="A126" s="224"/>
      <c r="B126" s="224"/>
      <c r="C126" s="222"/>
      <c r="D126" s="222"/>
      <c r="E126" s="222"/>
      <c r="F126" s="223"/>
      <c r="G126" s="123"/>
      <c r="H126" s="123"/>
      <c r="I126" s="123"/>
      <c r="J126" s="123"/>
      <c r="K126" s="123"/>
      <c r="L126" s="123"/>
      <c r="M126" s="69"/>
      <c r="N126" s="69"/>
      <c r="O126" s="69"/>
      <c r="Q126" s="186"/>
      <c r="R126" s="186"/>
    </row>
    <row r="127" spans="1:24" x14ac:dyDescent="0.25">
      <c r="A127" s="222"/>
      <c r="B127" s="222"/>
      <c r="C127" s="222"/>
      <c r="D127" s="222"/>
      <c r="E127" s="222"/>
      <c r="F127" s="223"/>
      <c r="Q127" s="186"/>
      <c r="R127" s="186"/>
    </row>
    <row r="128" spans="1:24" ht="16.5" thickBot="1" x14ac:dyDescent="0.3">
      <c r="A128" s="265"/>
      <c r="B128" s="266"/>
      <c r="C128" s="299" t="str">
        <f>C83</f>
        <v>Eltern</v>
      </c>
      <c r="D128" s="267" t="str">
        <f>D83</f>
        <v/>
      </c>
      <c r="E128" s="222"/>
      <c r="F128" s="223"/>
      <c r="N128" s="58" t="s">
        <v>93</v>
      </c>
      <c r="O128" s="59"/>
      <c r="Q128" s="186"/>
      <c r="R128" s="186"/>
      <c r="X128" t="s">
        <v>315</v>
      </c>
    </row>
    <row r="129" spans="1:22" ht="17.25" thickTop="1" thickBot="1" x14ac:dyDescent="0.3">
      <c r="A129" s="293" t="str">
        <f t="shared" ref="A129:A131" si="14">IF($H$3=1,U129,V129)</f>
        <v>Anzahl Eltern</v>
      </c>
      <c r="B129" s="294"/>
      <c r="C129" s="278">
        <v>0</v>
      </c>
      <c r="D129" s="279">
        <v>0</v>
      </c>
      <c r="E129" s="222"/>
      <c r="F129" s="223"/>
      <c r="N129" s="61" t="s">
        <v>94</v>
      </c>
      <c r="O129" s="62" t="s">
        <v>95</v>
      </c>
      <c r="Q129" s="186"/>
      <c r="R129" s="186"/>
      <c r="U129" t="s">
        <v>308</v>
      </c>
      <c r="V129" t="s">
        <v>362</v>
      </c>
    </row>
    <row r="130" spans="1:22" ht="17.25" thickTop="1" thickBot="1" x14ac:dyDescent="0.3">
      <c r="A130" s="293" t="str">
        <f t="shared" si="14"/>
        <v>Anzahl der unterhaltspflichtigen Kindern</v>
      </c>
      <c r="B130" s="295"/>
      <c r="C130" s="280">
        <v>0</v>
      </c>
      <c r="D130" s="281">
        <v>0</v>
      </c>
      <c r="E130" s="223"/>
      <c r="F130" s="223"/>
      <c r="N130" s="63">
        <v>1</v>
      </c>
      <c r="O130" s="64">
        <v>38000</v>
      </c>
      <c r="Q130" s="186"/>
      <c r="R130" s="186"/>
      <c r="U130" t="s">
        <v>309</v>
      </c>
      <c r="V130" t="s">
        <v>359</v>
      </c>
    </row>
    <row r="131" spans="1:22" ht="16.5" thickBot="1" x14ac:dyDescent="0.3">
      <c r="A131" s="293" t="str">
        <f t="shared" si="14"/>
        <v>Anzahl Kinder in post-obligatorischer Ausbildung</v>
      </c>
      <c r="B131" s="294"/>
      <c r="C131" s="280">
        <v>0</v>
      </c>
      <c r="D131" s="281">
        <v>0</v>
      </c>
      <c r="E131" s="222"/>
      <c r="F131" s="223"/>
      <c r="N131" s="63">
        <v>2</v>
      </c>
      <c r="O131" s="65">
        <v>50000</v>
      </c>
      <c r="Q131" s="186"/>
      <c r="R131" s="186"/>
      <c r="U131" t="s">
        <v>383</v>
      </c>
      <c r="V131" t="s">
        <v>360</v>
      </c>
    </row>
    <row r="132" spans="1:22" ht="16.5" hidden="1" outlineLevel="1" thickBot="1" x14ac:dyDescent="0.3">
      <c r="A132" s="277" t="s">
        <v>261</v>
      </c>
      <c r="B132" s="277"/>
      <c r="C132" s="282">
        <f>SUM(C129:C131)</f>
        <v>0</v>
      </c>
      <c r="D132" s="283">
        <f>SUM(D129:D131)</f>
        <v>0</v>
      </c>
      <c r="E132" s="222"/>
      <c r="F132" s="223"/>
      <c r="N132" s="63">
        <v>3</v>
      </c>
      <c r="O132" s="64">
        <v>60000</v>
      </c>
      <c r="Q132" s="186"/>
      <c r="R132" s="186"/>
      <c r="U132" t="s">
        <v>261</v>
      </c>
      <c r="V132" t="s">
        <v>361</v>
      </c>
    </row>
    <row r="133" spans="1:22" ht="17.25" hidden="1" outlineLevel="1" thickTop="1" thickBot="1" x14ac:dyDescent="0.3">
      <c r="A133" s="277"/>
      <c r="B133" s="277"/>
      <c r="C133" s="284"/>
      <c r="D133" s="285"/>
      <c r="E133" s="222"/>
      <c r="F133" s="223"/>
      <c r="N133" s="63">
        <v>4</v>
      </c>
      <c r="O133" s="65">
        <v>69000</v>
      </c>
      <c r="Q133" s="186"/>
      <c r="R133" s="186"/>
    </row>
    <row r="134" spans="1:22" ht="16.5" hidden="1" outlineLevel="1" thickBot="1" x14ac:dyDescent="0.3">
      <c r="A134" s="277" t="s">
        <v>109</v>
      </c>
      <c r="B134" s="277"/>
      <c r="C134" s="286">
        <f>C130+C131</f>
        <v>0</v>
      </c>
      <c r="D134" s="287">
        <f>D130+D131</f>
        <v>0</v>
      </c>
      <c r="E134" s="222"/>
      <c r="F134" s="223"/>
      <c r="H134"/>
      <c r="N134" s="63">
        <v>5</v>
      </c>
      <c r="O134" s="65">
        <v>78000</v>
      </c>
      <c r="Q134" s="186"/>
      <c r="R134" s="186"/>
    </row>
    <row r="135" spans="1:22" ht="16.5" hidden="1" outlineLevel="1" thickBot="1" x14ac:dyDescent="0.3">
      <c r="A135" s="277" t="s">
        <v>108</v>
      </c>
      <c r="B135" s="277"/>
      <c r="C135" s="288">
        <f>C131</f>
        <v>0</v>
      </c>
      <c r="D135" s="287">
        <f>D131</f>
        <v>0</v>
      </c>
      <c r="E135" s="222"/>
      <c r="F135" s="223"/>
      <c r="H135">
        <v>1800</v>
      </c>
      <c r="N135" s="66">
        <v>6</v>
      </c>
      <c r="O135" s="67">
        <v>86000</v>
      </c>
      <c r="Q135" s="186"/>
      <c r="R135" s="186"/>
    </row>
    <row r="136" spans="1:22" ht="16.5" collapsed="1" thickBot="1" x14ac:dyDescent="0.3">
      <c r="A136" s="277"/>
      <c r="B136" s="277"/>
      <c r="C136" s="258"/>
      <c r="D136" s="289"/>
      <c r="E136" s="222"/>
      <c r="F136" s="223"/>
      <c r="N136" s="63">
        <v>7</v>
      </c>
      <c r="O136" s="65">
        <v>94000</v>
      </c>
      <c r="Q136" s="186"/>
      <c r="R136" s="186"/>
    </row>
    <row r="137" spans="1:22" ht="30.75" customHeight="1" thickBot="1" x14ac:dyDescent="0.3">
      <c r="A137" s="300" t="str">
        <f t="shared" ref="A137" si="15">IF($H$3=1,U137,V137)</f>
        <v xml:space="preserve">Anzahl beim anderen Elternteil lebende Geschwister (keine Unterhaltszahlungen durch die Eltern) </v>
      </c>
      <c r="B137" s="293"/>
      <c r="C137" s="280">
        <v>0</v>
      </c>
      <c r="D137" s="281">
        <v>0</v>
      </c>
      <c r="E137" s="222"/>
      <c r="F137" s="223"/>
      <c r="N137" s="66">
        <v>8</v>
      </c>
      <c r="O137" s="67">
        <v>102000</v>
      </c>
      <c r="Q137" s="186"/>
      <c r="R137" s="186"/>
      <c r="U137" t="s">
        <v>310</v>
      </c>
      <c r="V137" s="219" t="s">
        <v>403</v>
      </c>
    </row>
    <row r="138" spans="1:22" ht="15.75" hidden="1" outlineLevel="1" thickBot="1" x14ac:dyDescent="0.3">
      <c r="A138" s="222" t="s">
        <v>111</v>
      </c>
      <c r="B138" s="222"/>
      <c r="C138" s="173">
        <f>C134+C137</f>
        <v>0</v>
      </c>
      <c r="D138" s="174">
        <f>D134+D137</f>
        <v>0</v>
      </c>
      <c r="E138" s="222"/>
      <c r="F138" s="223"/>
      <c r="N138" s="63">
        <v>9</v>
      </c>
      <c r="O138" s="65">
        <v>110000</v>
      </c>
      <c r="Q138" s="186"/>
      <c r="R138" s="186"/>
    </row>
    <row r="139" spans="1:22" ht="16.5" hidden="1" outlineLevel="1" thickTop="1" thickBot="1" x14ac:dyDescent="0.3">
      <c r="A139" s="222"/>
      <c r="B139" s="222"/>
      <c r="C139" s="181"/>
      <c r="D139" s="181"/>
      <c r="E139" s="222"/>
      <c r="F139" s="223"/>
      <c r="N139" s="63">
        <v>10</v>
      </c>
      <c r="O139" s="64">
        <v>118000</v>
      </c>
      <c r="Q139" s="186"/>
      <c r="R139" s="186"/>
    </row>
    <row r="140" spans="1:22" ht="15.75" hidden="1" outlineLevel="1" thickBot="1" x14ac:dyDescent="0.3">
      <c r="A140" s="224" t="s">
        <v>92</v>
      </c>
      <c r="B140" s="224"/>
      <c r="C140" s="46"/>
      <c r="D140" s="46"/>
      <c r="E140" s="222"/>
      <c r="F140" s="223"/>
      <c r="N140" s="66">
        <v>11</v>
      </c>
      <c r="O140" s="68">
        <v>126000</v>
      </c>
      <c r="P140" s="40"/>
      <c r="Q140" s="191"/>
      <c r="R140" s="191"/>
    </row>
    <row r="141" spans="1:22" ht="15.75" hidden="1" outlineLevel="1" thickBot="1" x14ac:dyDescent="0.3">
      <c r="A141" s="222"/>
      <c r="B141" s="222"/>
      <c r="C141" s="25"/>
      <c r="D141" s="25"/>
      <c r="E141" s="222"/>
      <c r="F141" s="223"/>
      <c r="N141" s="63">
        <v>12</v>
      </c>
      <c r="O141" s="64">
        <v>134000</v>
      </c>
      <c r="Q141" s="186"/>
      <c r="R141" s="186"/>
    </row>
    <row r="142" spans="1:22" ht="15.75" hidden="1" outlineLevel="1" thickBot="1" x14ac:dyDescent="0.3">
      <c r="A142" s="222" t="s">
        <v>96</v>
      </c>
      <c r="B142" s="222"/>
      <c r="C142" s="175">
        <f>VLOOKUP(C132,$N$129:$O$145,2,FALSE)</f>
        <v>0</v>
      </c>
      <c r="D142" s="176">
        <f>IF(ISNA(VLOOKUP(D132,$N$129:$O$145,2,FALSE)),0,VLOOKUP(D132,$N$129:$O$145,2,FALSE))</f>
        <v>0</v>
      </c>
      <c r="E142" s="222"/>
      <c r="F142" s="223"/>
      <c r="N142" s="66">
        <v>13</v>
      </c>
      <c r="O142" s="68">
        <v>142000</v>
      </c>
      <c r="Q142" s="186"/>
      <c r="R142" s="186"/>
    </row>
    <row r="143" spans="1:22" ht="15.75" hidden="1" outlineLevel="1" thickBot="1" x14ac:dyDescent="0.3">
      <c r="A143" s="222" t="s">
        <v>97</v>
      </c>
      <c r="B143" s="222"/>
      <c r="C143" s="175">
        <f>C135*H135</f>
        <v>0</v>
      </c>
      <c r="D143" s="176">
        <f>D135*H135</f>
        <v>0</v>
      </c>
      <c r="E143" s="222"/>
      <c r="F143" s="223"/>
      <c r="N143" s="63">
        <v>14</v>
      </c>
      <c r="O143" s="8">
        <v>150000</v>
      </c>
      <c r="Q143" s="186"/>
      <c r="R143" s="186"/>
    </row>
    <row r="144" spans="1:22" ht="15.75" hidden="1" outlineLevel="1" thickBot="1" x14ac:dyDescent="0.3">
      <c r="A144" s="222" t="s">
        <v>98</v>
      </c>
      <c r="B144" s="222"/>
      <c r="C144" s="177">
        <f>SUM(C142:C143)</f>
        <v>0</v>
      </c>
      <c r="D144" s="178">
        <f>SUM(D142:D143)</f>
        <v>0</v>
      </c>
      <c r="E144" s="222"/>
      <c r="F144" s="223"/>
      <c r="N144" s="63">
        <v>15</v>
      </c>
      <c r="O144" s="8">
        <v>158000</v>
      </c>
      <c r="Q144" s="186"/>
      <c r="R144" s="186"/>
    </row>
    <row r="145" spans="1:22" ht="15.75" hidden="1" outlineLevel="1" thickTop="1" x14ac:dyDescent="0.25">
      <c r="A145" s="222"/>
      <c r="B145" s="222"/>
      <c r="C145" s="38"/>
      <c r="D145" s="72"/>
      <c r="E145" s="222"/>
      <c r="F145" s="223"/>
      <c r="N145" s="133">
        <v>0</v>
      </c>
      <c r="O145" s="8">
        <v>0</v>
      </c>
      <c r="Q145" s="186"/>
      <c r="R145" s="186"/>
    </row>
    <row r="146" spans="1:22" ht="15.75" hidden="1" outlineLevel="1" thickBot="1" x14ac:dyDescent="0.3">
      <c r="A146" s="224" t="s">
        <v>99</v>
      </c>
      <c r="B146" s="224"/>
      <c r="C146" s="179">
        <f>C120-C144</f>
        <v>0</v>
      </c>
      <c r="D146" s="180">
        <f>D120-D144</f>
        <v>0</v>
      </c>
      <c r="E146" s="222"/>
      <c r="F146" s="223"/>
      <c r="Q146" s="186"/>
      <c r="R146" s="186"/>
    </row>
    <row r="147" spans="1:22" ht="15.75" hidden="1" outlineLevel="1" thickTop="1" x14ac:dyDescent="0.25">
      <c r="A147" s="222"/>
      <c r="B147" s="222"/>
      <c r="D147" s="24"/>
      <c r="E147" s="222"/>
      <c r="F147" s="223"/>
      <c r="Q147" s="186"/>
      <c r="R147" s="186"/>
    </row>
    <row r="148" spans="1:22" hidden="1" outlineLevel="1" x14ac:dyDescent="0.25">
      <c r="A148" s="222" t="s">
        <v>100</v>
      </c>
      <c r="B148" s="222"/>
      <c r="C148" s="161" t="str">
        <f>IF(C83="Mère",IF(H76=1,"Oui","Non"),IF(C83="Père",IF(H77=1,"Oui","Non"),"Non"))</f>
        <v>Non</v>
      </c>
      <c r="D148" s="162" t="str">
        <f>IF(D83="Mère",IF(H76=1,"Oui","Non"),"Non")</f>
        <v>Non</v>
      </c>
      <c r="E148" s="222"/>
      <c r="F148" s="223"/>
      <c r="H148" s="56" t="s">
        <v>101</v>
      </c>
      <c r="Q148" s="186"/>
      <c r="R148" s="186"/>
    </row>
    <row r="149" spans="1:22" hidden="1" outlineLevel="1" x14ac:dyDescent="0.25">
      <c r="A149" s="222"/>
      <c r="B149" s="222"/>
      <c r="D149" s="24"/>
      <c r="E149" s="222"/>
      <c r="F149" s="223"/>
      <c r="Q149" s="186"/>
      <c r="R149" s="186"/>
    </row>
    <row r="150" spans="1:22" hidden="1" outlineLevel="1" x14ac:dyDescent="0.25">
      <c r="A150" s="224" t="s">
        <v>102</v>
      </c>
      <c r="B150" s="224"/>
      <c r="C150" s="164">
        <f>IF(C148="Oui",ROUND(C146/2/50,0)*50,ROUND(C146/50,0)*50)</f>
        <v>0</v>
      </c>
      <c r="D150" s="164">
        <f>IF(D128="",0,IF(D148="Oui",ROUND(D146/2/50,0)*50,ROUND(D146/50,0)*50))</f>
        <v>0</v>
      </c>
      <c r="E150" s="222"/>
      <c r="F150" s="223"/>
      <c r="Q150" s="186"/>
      <c r="R150" s="186"/>
    </row>
    <row r="151" spans="1:22" hidden="1" outlineLevel="1" x14ac:dyDescent="0.25">
      <c r="A151" s="222"/>
      <c r="B151" s="222"/>
      <c r="D151" s="24"/>
      <c r="E151" s="222"/>
      <c r="F151" s="223"/>
      <c r="Q151" s="186"/>
      <c r="R151" s="186"/>
    </row>
    <row r="152" spans="1:22" hidden="1" outlineLevel="1" x14ac:dyDescent="0.25">
      <c r="A152" s="224" t="s">
        <v>103</v>
      </c>
      <c r="B152" s="224"/>
      <c r="C152" s="164">
        <f>IF(H11=4,0,ROUNDDOWN(IF(H45=1,0,IF(C138=0,0,IF(C150/C138&gt;0,C150/C138,0))),-2))</f>
        <v>0</v>
      </c>
      <c r="D152" s="172">
        <f>IF(H11=4,0,IF(H45=1,0,IF(D138=0,0,IF(D150/D138&gt;0,D150/D138,0))))</f>
        <v>0</v>
      </c>
      <c r="E152" s="222"/>
      <c r="F152" s="223"/>
      <c r="H152" t="s">
        <v>117</v>
      </c>
      <c r="Q152" s="186"/>
      <c r="R152" s="186"/>
    </row>
    <row r="153" spans="1:22" collapsed="1" x14ac:dyDescent="0.25">
      <c r="A153" s="222"/>
      <c r="B153" s="222"/>
      <c r="C153" s="222"/>
      <c r="D153" s="222"/>
      <c r="E153" s="222"/>
      <c r="F153" s="223"/>
      <c r="Q153" s="186"/>
      <c r="R153" s="186"/>
    </row>
    <row r="154" spans="1:22" ht="18.75" x14ac:dyDescent="0.3">
      <c r="A154" s="252" t="str">
        <f>IF($H$3=1,U154,V154)</f>
        <v>Betrag der finanziellen Hilfe</v>
      </c>
      <c r="B154" s="252"/>
      <c r="C154" s="253"/>
      <c r="D154" s="253"/>
      <c r="E154" s="253"/>
      <c r="F154" s="253"/>
      <c r="G154" s="47"/>
      <c r="H154" s="47"/>
      <c r="I154" s="47"/>
      <c r="J154" s="47"/>
      <c r="K154" s="47"/>
      <c r="L154" s="47"/>
      <c r="M154" s="46"/>
      <c r="N154" s="46"/>
      <c r="O154" s="46"/>
      <c r="Q154" s="186"/>
      <c r="R154" s="186"/>
      <c r="U154" t="s">
        <v>263</v>
      </c>
      <c r="V154" s="125" t="s">
        <v>404</v>
      </c>
    </row>
    <row r="155" spans="1:22" x14ac:dyDescent="0.25">
      <c r="A155" s="222"/>
      <c r="B155" s="222"/>
      <c r="C155" s="222"/>
      <c r="D155" s="222"/>
      <c r="E155" s="222"/>
      <c r="F155" s="223"/>
      <c r="Q155" s="186"/>
      <c r="R155" s="186"/>
    </row>
    <row r="156" spans="1:22" hidden="1" outlineLevel="1" x14ac:dyDescent="0.25">
      <c r="A156" s="222" t="s">
        <v>121</v>
      </c>
      <c r="B156" s="222"/>
      <c r="C156" s="236">
        <f>IF(H11=4,B26,B26+4000*C43)</f>
        <v>6000</v>
      </c>
      <c r="D156" s="222"/>
      <c r="E156" s="222"/>
      <c r="F156" s="223"/>
      <c r="Q156" s="186"/>
      <c r="R156" s="186"/>
    </row>
    <row r="157" spans="1:22" hidden="1" outlineLevel="1" x14ac:dyDescent="0.25">
      <c r="A157" s="222"/>
      <c r="B157" s="222"/>
      <c r="C157" s="237"/>
      <c r="D157" s="222"/>
      <c r="E157" s="222"/>
      <c r="F157" s="223"/>
      <c r="Q157" s="186"/>
      <c r="R157" s="186"/>
    </row>
    <row r="158" spans="1:22" hidden="1" outlineLevel="1" x14ac:dyDescent="0.25">
      <c r="A158" s="222" t="s">
        <v>48</v>
      </c>
      <c r="B158" s="222"/>
      <c r="C158" s="236">
        <f>C62</f>
        <v>0</v>
      </c>
      <c r="D158" s="222"/>
      <c r="E158" s="222"/>
      <c r="F158" s="223"/>
      <c r="Q158" s="186"/>
      <c r="R158" s="186"/>
    </row>
    <row r="159" spans="1:22" hidden="1" outlineLevel="1" x14ac:dyDescent="0.25">
      <c r="A159" s="222" t="str">
        <f>IF(H11=4,"","5% de la fortune nette")</f>
        <v>5% de la fortune nette</v>
      </c>
      <c r="B159" s="222"/>
      <c r="C159" s="236">
        <f>IF(H11=4,"",IF(C67&gt;0,ROUNDDOWN(C67,-2),0))</f>
        <v>0</v>
      </c>
      <c r="D159" s="222"/>
      <c r="E159" s="222"/>
      <c r="F159" s="223"/>
      <c r="Q159" s="186"/>
      <c r="R159" s="186"/>
    </row>
    <row r="160" spans="1:22" hidden="1" outlineLevel="1" x14ac:dyDescent="0.25">
      <c r="A160" s="222" t="str">
        <f>IF(H11=4,"Revenu brut maximum admis","Contribution du parent 1")</f>
        <v>Contribution du parent 1</v>
      </c>
      <c r="B160" s="222"/>
      <c r="C160" s="236">
        <f>IF(H11=4,IF(H41=2,54000+6000*C43,36000+6000*C43),C152)</f>
        <v>0</v>
      </c>
      <c r="D160" s="222"/>
      <c r="E160" s="222"/>
      <c r="F160" s="223"/>
      <c r="Q160" s="186"/>
      <c r="R160" s="186"/>
    </row>
    <row r="161" spans="1:25" hidden="1" outlineLevel="1" x14ac:dyDescent="0.25">
      <c r="A161" s="222" t="str">
        <f>IF(H11=4,"","Contribution du parent 2")</f>
        <v>Contribution du parent 2</v>
      </c>
      <c r="B161" s="222"/>
      <c r="C161" s="236">
        <f>IF(H11=4,"",D152)</f>
        <v>0</v>
      </c>
      <c r="D161" s="222"/>
      <c r="E161" s="222"/>
      <c r="F161" s="223"/>
      <c r="Q161" s="186"/>
      <c r="R161" s="186"/>
    </row>
    <row r="162" spans="1:25" ht="15.75" hidden="1" outlineLevel="1" thickBot="1" x14ac:dyDescent="0.3">
      <c r="A162" s="222" t="s">
        <v>104</v>
      </c>
      <c r="B162" s="222"/>
      <c r="C162" s="238">
        <f>IF(H11=4,C160-C158,C156-(SUM(C158:C161)))</f>
        <v>6000</v>
      </c>
      <c r="D162" s="222"/>
      <c r="E162" s="222"/>
      <c r="F162" s="223"/>
      <c r="Q162" s="186"/>
      <c r="R162" s="186"/>
    </row>
    <row r="163" spans="1:25" ht="15.75" hidden="1" outlineLevel="1" thickTop="1" x14ac:dyDescent="0.25">
      <c r="A163" s="222"/>
      <c r="B163" s="222"/>
      <c r="C163" s="239"/>
      <c r="D163" s="222"/>
      <c r="E163" s="222"/>
      <c r="F163" s="223"/>
      <c r="Q163" s="186"/>
      <c r="R163" s="186"/>
    </row>
    <row r="164" spans="1:25" hidden="1" outlineLevel="1" x14ac:dyDescent="0.25">
      <c r="A164" s="222" t="s">
        <v>187</v>
      </c>
      <c r="B164" s="240">
        <f>H20</f>
        <v>2</v>
      </c>
      <c r="C164" s="222"/>
      <c r="D164" s="222"/>
      <c r="E164" s="222"/>
      <c r="F164" s="223"/>
      <c r="Q164" s="186"/>
      <c r="R164" s="186"/>
    </row>
    <row r="165" spans="1:25" hidden="1" outlineLevel="1" x14ac:dyDescent="0.25">
      <c r="A165" s="241" t="s">
        <v>105</v>
      </c>
      <c r="B165" s="222" t="str">
        <f>IF(B164=1,"(1 semestre","")</f>
        <v/>
      </c>
      <c r="C165" s="237">
        <f>IF(H11=4,IF(C162&gt;0,C156,0),IF(AND(H45=1,H120=1),0,IF(B164=1,ROUND(IF(C162&gt;0,C162/2,0),-2),ROUND(IF(C162&gt;0,C162,0),-2))))</f>
        <v>6000</v>
      </c>
      <c r="D165" s="310" t="s">
        <v>119</v>
      </c>
      <c r="E165" s="310"/>
      <c r="F165" s="223"/>
      <c r="N165" s="182">
        <v>1</v>
      </c>
      <c r="O165" s="182" t="str">
        <f>IF($H$3=1,Q165,R165)</f>
        <v>Gestützt auf die von Ihnen gemachten Angaben, kann Ihnen ein Ausbildungsbeitrag in Form eines Stipendiums gewährt werden:</v>
      </c>
      <c r="Q165" s="186" t="s">
        <v>271</v>
      </c>
      <c r="R165" s="186" t="s">
        <v>415</v>
      </c>
    </row>
    <row r="166" spans="1:25" hidden="1" outlineLevel="1" x14ac:dyDescent="0.25">
      <c r="A166" s="241" t="s">
        <v>106</v>
      </c>
      <c r="B166" s="242">
        <f>IF(H105=0,IF(H11=4,0%,IF(H45=1,1/3,IF(H11=1,100%,80%))),IF(H45=1,1/3,0%))</f>
        <v>1</v>
      </c>
      <c r="C166" s="237">
        <f>C165*B166</f>
        <v>6000</v>
      </c>
      <c r="D166" s="237">
        <f>IF(ROUND(C166/25,0)*25&lt;500,0,ROUND(C166/25,0)*25)</f>
        <v>6000</v>
      </c>
      <c r="E166" s="222" t="s">
        <v>118</v>
      </c>
      <c r="F166" s="223"/>
      <c r="H166" s="5">
        <f>IF(AND(D166&gt;0,D167&gt;0),3,IF(D166&gt;0,1,IF(D167&gt;0,2,4)))</f>
        <v>1</v>
      </c>
      <c r="J166" s="55">
        <f>D166/2</f>
        <v>3000</v>
      </c>
      <c r="K166" s="55">
        <f>ROUNDDOWN(C166,-2)</f>
        <v>6000</v>
      </c>
      <c r="L166">
        <f>IF(ROUND(C166/50,0)*50&lt;500,0,ROUND(C166/50,0)*50)</f>
        <v>6000</v>
      </c>
      <c r="N166" s="183">
        <v>2</v>
      </c>
      <c r="O166" s="183" t="str">
        <f>IF($H$3=1,Q166,R166)</f>
        <v>Gestützt auf die von Ihnen gemachten Angaben, kann Ihnen ein Ausbildungsbeitrag in Form eines Darlehens gewährt werden:</v>
      </c>
      <c r="Q166" s="186" t="s">
        <v>272</v>
      </c>
      <c r="R166" s="186" t="s">
        <v>416</v>
      </c>
    </row>
    <row r="167" spans="1:25" hidden="1" outlineLevel="1" x14ac:dyDescent="0.25">
      <c r="A167" s="241" t="s">
        <v>107</v>
      </c>
      <c r="B167" s="243">
        <f>IF(H105=0,IF(H11=4,100%,IF(H45=1,2/3,IF(H11=1,0%,20%))),IF(H45=1,2/3,100%))</f>
        <v>0</v>
      </c>
      <c r="C167" s="237">
        <f>C165*B167</f>
        <v>0</v>
      </c>
      <c r="D167" s="237">
        <f>IF(ROUND(C167/25,0)*25&lt;1000,0,ROUND(C167/25,0)*25)</f>
        <v>0</v>
      </c>
      <c r="E167" s="222" t="s">
        <v>118</v>
      </c>
      <c r="F167" s="223"/>
      <c r="N167" s="183">
        <v>3</v>
      </c>
      <c r="O167" s="183" t="str">
        <f>IF($H$3=1,Q167,R167)</f>
        <v>Gestützt auf die von Ihnen gemachten Angaben, kann Ihnen ein Ausbildungsbeitrag in kombinierter Form eines Stipendiums und eines Darlehens gewährt werden:</v>
      </c>
      <c r="Q167" s="186" t="s">
        <v>273</v>
      </c>
      <c r="R167" s="186" t="s">
        <v>417</v>
      </c>
    </row>
    <row r="168" spans="1:25" hidden="1" outlineLevel="1" x14ac:dyDescent="0.25">
      <c r="A168" s="222"/>
      <c r="B168" s="222"/>
      <c r="C168" s="222"/>
      <c r="D168" s="244"/>
      <c r="E168" s="222"/>
      <c r="F168" s="223"/>
      <c r="N168" s="184">
        <v>4</v>
      </c>
      <c r="O168" s="184" t="str">
        <f>IF($H$3=1,Q168,R168)</f>
        <v>Gestützt auf die von Ihnen gemachten Angaben, kann Ihnen keine Ausbildungshilfe gewährt werden.</v>
      </c>
      <c r="Q168" s="186" t="s">
        <v>274</v>
      </c>
      <c r="R168" s="186" t="s">
        <v>418</v>
      </c>
    </row>
    <row r="169" spans="1:25" ht="15.75" collapsed="1" thickBot="1" x14ac:dyDescent="0.3">
      <c r="A169" s="222"/>
      <c r="B169" s="222"/>
      <c r="C169" s="222"/>
      <c r="D169" s="245"/>
      <c r="E169" s="222"/>
      <c r="F169" s="223"/>
      <c r="Q169" s="186"/>
      <c r="R169" s="186"/>
    </row>
    <row r="170" spans="1:25" x14ac:dyDescent="0.25">
      <c r="A170" s="208"/>
      <c r="B170" s="209"/>
      <c r="C170" s="209"/>
      <c r="D170" s="210"/>
      <c r="E170" s="209"/>
      <c r="F170" s="211"/>
      <c r="Q170" s="186"/>
      <c r="R170" s="186"/>
    </row>
    <row r="171" spans="1:25" ht="33.75" customHeight="1" x14ac:dyDescent="0.25">
      <c r="A171" s="318" t="str">
        <f>VLOOKUP(H166,N165:O168,2,FALSE)</f>
        <v>Gestützt auf die von Ihnen gemachten Angaben, kann Ihnen ein Ausbildungsbeitrag in Form eines Stipendiums gewährt werden:</v>
      </c>
      <c r="B171" s="319"/>
      <c r="C171" s="319"/>
      <c r="D171" s="319"/>
      <c r="E171" s="319"/>
      <c r="F171" s="320"/>
      <c r="Q171" s="186"/>
      <c r="R171" s="186"/>
    </row>
    <row r="172" spans="1:25" ht="15.75" x14ac:dyDescent="0.25">
      <c r="A172" s="202"/>
      <c r="B172" s="203"/>
      <c r="C172" s="203"/>
      <c r="D172" s="204"/>
      <c r="E172" s="203"/>
      <c r="F172" s="205"/>
      <c r="Q172" s="186"/>
      <c r="R172" s="186"/>
    </row>
    <row r="173" spans="1:25" ht="15.75" x14ac:dyDescent="0.25">
      <c r="A173" s="202"/>
      <c r="B173" s="206" t="str">
        <f>IF(OR(H166=1,H166=3),H173,"")</f>
        <v>Betrag des Stipendiums:</v>
      </c>
      <c r="C173" s="203"/>
      <c r="D173" s="207">
        <f>IF(D166&lt;&gt;0,D166,"")</f>
        <v>6000</v>
      </c>
      <c r="E173" s="203" t="str">
        <f>IF(D166&lt;&gt;0,"CHF","")</f>
        <v>CHF</v>
      </c>
      <c r="F173" s="205"/>
      <c r="H173" s="199" t="str">
        <f>IF($H$3=1,Q173,R173)</f>
        <v>Betrag des Stipendiums:</v>
      </c>
      <c r="Q173" s="186" t="s">
        <v>316</v>
      </c>
      <c r="R173" s="186" t="s">
        <v>405</v>
      </c>
      <c r="U173" t="s">
        <v>316</v>
      </c>
      <c r="V173" s="125" t="s">
        <v>405</v>
      </c>
    </row>
    <row r="174" spans="1:25" ht="15.75" x14ac:dyDescent="0.25">
      <c r="A174" s="202"/>
      <c r="B174" s="206" t="str">
        <f>IF(OR(H166=2,H166=3),H174,"")</f>
        <v/>
      </c>
      <c r="C174" s="203"/>
      <c r="D174" s="207" t="str">
        <f>IF(D167&lt;&gt;0,D167,"")</f>
        <v/>
      </c>
      <c r="E174" s="203" t="str">
        <f>IF(D167&lt;&gt;0,"CHF","")</f>
        <v/>
      </c>
      <c r="F174" s="205"/>
      <c r="H174" s="199" t="str">
        <f>IF($H$3=1,Q174,R174)</f>
        <v>Betrag des Darlehens:</v>
      </c>
      <c r="Q174" s="186" t="s">
        <v>363</v>
      </c>
      <c r="R174" s="186" t="s">
        <v>406</v>
      </c>
      <c r="U174" t="s">
        <v>363</v>
      </c>
      <c r="V174" s="125" t="s">
        <v>406</v>
      </c>
      <c r="X174" t="s">
        <v>315</v>
      </c>
      <c r="Y174" t="s">
        <v>315</v>
      </c>
    </row>
    <row r="175" spans="1:25" ht="16.5" thickBot="1" x14ac:dyDescent="0.3">
      <c r="A175" s="212"/>
      <c r="B175" s="213"/>
      <c r="C175" s="214"/>
      <c r="D175" s="215"/>
      <c r="E175" s="214"/>
      <c r="F175" s="216"/>
      <c r="Q175" s="186"/>
      <c r="R175" s="186"/>
      <c r="V175" s="139"/>
    </row>
    <row r="176" spans="1:25" x14ac:dyDescent="0.25">
      <c r="A176" s="222"/>
      <c r="B176" s="235"/>
      <c r="C176" s="222"/>
      <c r="D176" s="246"/>
      <c r="E176" s="222"/>
      <c r="F176" s="223"/>
      <c r="Q176" s="186"/>
      <c r="R176" s="186"/>
      <c r="V176" s="139"/>
    </row>
    <row r="177" spans="1:22" ht="86.25" customHeight="1" x14ac:dyDescent="0.25">
      <c r="A177" s="303" t="str">
        <f t="shared" ref="A177:F177" si="16">IF($H$3=1,U177,V177)</f>
        <v xml:space="preserve">Bitte beachten Sie, dass das errechnete Ergebnis unverbindlich ist und lediglich als Anhaltspunkt dient.
Da sich die zuständige Behörde bei der Berechnung der Stipendien und Ausbildungsdarlehen auf die vom Antragsteller eingereichten Dokumente (wie Steuerverfügung der Eltern, Einkommen des Antragstellers, Anzahl unterhaltsberechtigter oder sich in Ausbildung befindlicher Kinder) stützt, hat das Ergebnis des Online-Rechners weder für die Kantonsverwaltung noch für die Kommission für Ausbildungsbeiträge eine Verpflichtung zur Folge.
</v>
      </c>
      <c r="B177" s="304">
        <f t="shared" si="16"/>
        <v>0</v>
      </c>
      <c r="C177" s="304">
        <f t="shared" si="16"/>
        <v>0</v>
      </c>
      <c r="D177" s="304">
        <f t="shared" si="16"/>
        <v>0</v>
      </c>
      <c r="E177" s="304">
        <f t="shared" si="16"/>
        <v>0</v>
      </c>
      <c r="F177" s="304">
        <f t="shared" si="16"/>
        <v>0</v>
      </c>
      <c r="N177" s="302"/>
      <c r="O177" s="302"/>
      <c r="Q177" s="197"/>
      <c r="R177" s="186"/>
      <c r="U177" s="194" t="s">
        <v>389</v>
      </c>
      <c r="V177" s="220" t="s">
        <v>409</v>
      </c>
    </row>
    <row r="178" spans="1:22" x14ac:dyDescent="0.25">
      <c r="A178" s="222"/>
      <c r="B178" s="235"/>
      <c r="C178" s="222"/>
      <c r="D178" s="234"/>
      <c r="E178" s="222"/>
      <c r="F178" s="223"/>
      <c r="Q178" s="186"/>
      <c r="R178" s="186"/>
      <c r="V178" s="139"/>
    </row>
    <row r="179" spans="1:22" x14ac:dyDescent="0.25">
      <c r="A179" s="290" t="s">
        <v>425</v>
      </c>
      <c r="B179" s="46"/>
      <c r="C179" s="46"/>
      <c r="D179" s="46"/>
      <c r="E179" s="46"/>
      <c r="F179" s="47"/>
      <c r="Q179" s="186"/>
      <c r="R179" s="186"/>
      <c r="U179" t="s">
        <v>266</v>
      </c>
      <c r="V179" s="125" t="s">
        <v>407</v>
      </c>
    </row>
    <row r="180" spans="1:22" ht="81.75" customHeight="1" x14ac:dyDescent="0.25">
      <c r="A180" s="305" t="str">
        <f t="shared" ref="A180:F180" si="17">IF($H$3=1,U180,V180)</f>
        <v xml:space="preserve">a) Stipendien unter 500 Franken und Darlehen unter 1'000 Franken werden nicht gewährt.
b) Bei tertiären Ausbildungen gilt: Beträgt das aufgewertete Bruttovermögen der Eltern über 1'000'000 Franken, wird eine allfällige Hilfe nur in Form eines Darlehens gewährt.
c) Bei einer von den elterlichen Leistungen partiell unabhängigen Berechnung wird kein Beitrag gewährt, wenn sich das massgebende Einkommen der Eltern auf über 180'000 Franken beläuft.
</v>
      </c>
      <c r="B180" s="306">
        <f t="shared" si="17"/>
        <v>0</v>
      </c>
      <c r="C180" s="306">
        <f t="shared" si="17"/>
        <v>0</v>
      </c>
      <c r="D180" s="306">
        <f t="shared" si="17"/>
        <v>0</v>
      </c>
      <c r="E180" s="306">
        <f t="shared" si="17"/>
        <v>0</v>
      </c>
      <c r="F180" s="306">
        <f t="shared" si="17"/>
        <v>0</v>
      </c>
      <c r="Q180" s="186"/>
      <c r="R180" s="186"/>
      <c r="U180" s="193" t="s">
        <v>275</v>
      </c>
      <c r="V180" s="218" t="s">
        <v>408</v>
      </c>
    </row>
    <row r="181" spans="1:22" x14ac:dyDescent="0.25">
      <c r="A181" s="222"/>
      <c r="B181" s="222"/>
      <c r="C181" s="222"/>
      <c r="D181" s="247"/>
      <c r="E181" s="222"/>
      <c r="F181" s="223"/>
      <c r="Q181" s="186"/>
      <c r="R181" s="186"/>
    </row>
    <row r="182" spans="1:22" ht="18.75" x14ac:dyDescent="0.3">
      <c r="A182" s="252"/>
      <c r="B182" s="252"/>
      <c r="C182" s="253"/>
      <c r="D182" s="253"/>
      <c r="E182" s="253"/>
      <c r="F182" s="253"/>
      <c r="G182" s="47"/>
      <c r="H182" s="47"/>
      <c r="I182" s="47"/>
      <c r="J182" s="47"/>
      <c r="K182" s="47"/>
      <c r="L182" s="47"/>
      <c r="M182" s="46"/>
      <c r="N182" s="46"/>
      <c r="O182" s="46"/>
      <c r="Q182" s="186"/>
      <c r="R182" s="186"/>
    </row>
  </sheetData>
  <sheetProtection password="ACB8" sheet="1" objects="1" scenarios="1" selectLockedCells="1"/>
  <mergeCells count="19">
    <mergeCell ref="A180:F180"/>
    <mergeCell ref="A1:F1"/>
    <mergeCell ref="A125:F125"/>
    <mergeCell ref="A20:B20"/>
    <mergeCell ref="D165:E165"/>
    <mergeCell ref="A11:B11"/>
    <mergeCell ref="A14:B14"/>
    <mergeCell ref="A17:B17"/>
    <mergeCell ref="B41:C41"/>
    <mergeCell ref="B37:C37"/>
    <mergeCell ref="B39:C39"/>
    <mergeCell ref="A74:F74"/>
    <mergeCell ref="A5:F5"/>
    <mergeCell ref="A171:F171"/>
    <mergeCell ref="A23:F23"/>
    <mergeCell ref="A46:F46"/>
    <mergeCell ref="A81:F81"/>
    <mergeCell ref="N177:O177"/>
    <mergeCell ref="A177:F177"/>
  </mergeCells>
  <conditionalFormatting sqref="D84:D87 D89:D91 D95:D97 D99:D101">
    <cfRule type="expression" dxfId="17" priority="5">
      <formula>$D$83=""</formula>
    </cfRule>
  </conditionalFormatting>
  <conditionalFormatting sqref="C84:C87 C89:C91 C95:C97 C99:C101">
    <cfRule type="expression" dxfId="16" priority="4">
      <formula>$C$83=""</formula>
    </cfRule>
  </conditionalFormatting>
  <conditionalFormatting sqref="D129:D131 D137">
    <cfRule type="expression" dxfId="15" priority="3">
      <formula>$D$128=""</formula>
    </cfRule>
  </conditionalFormatting>
  <conditionalFormatting sqref="C129:C131 C137">
    <cfRule type="expression" dxfId="14" priority="2">
      <formula>$C$128=""</formula>
    </cfRule>
  </conditionalFormatting>
  <conditionalFormatting sqref="D173:E174">
    <cfRule type="notContainsBlanks" dxfId="13" priority="7">
      <formula>LEN(TRIM(D173))&gt;0</formula>
    </cfRule>
  </conditionalFormatting>
  <dataValidations count="14">
    <dataValidation type="list" showInputMessage="1" showErrorMessage="1" error="Vous devez sélectionner une valeur dans la liste !" sqref="B41:C41">
      <formula1>$N$55:$N$62</formula1>
    </dataValidation>
    <dataValidation type="list" showInputMessage="1" showErrorMessage="1" error="Vous devez sélectionner une valeur dans la liste !" sqref="C77">
      <formula1>$N$37:$N$38</formula1>
    </dataValidation>
    <dataValidation type="list" showInputMessage="1" showErrorMessage="1" error="Vous devez sélectionner une valeur dans la liste !" sqref="A74:F74">
      <formula1>$N$74:$N$78</formula1>
    </dataValidation>
    <dataValidation type="list" showInputMessage="1" showErrorMessage="1" error="Vous devez sélectionner une valeur dans la liste !" sqref="A20:B20">
      <formula1>$N$26:$N$27</formula1>
    </dataValidation>
    <dataValidation type="whole" operator="greaterThanOrEqual" showInputMessage="1" showErrorMessage="1" error="Vous devez saisir un nombre entier supérieur ou égal à 0 !" sqref="C137:D137">
      <formula1>0</formula1>
    </dataValidation>
    <dataValidation type="textLength" allowBlank="1" showInputMessage="1" showErrorMessage="1" error="Vous ne devez rien saisir dans cette cellule." sqref="D168 D172">
      <formula1>1000</formula1>
      <formula2>1001</formula2>
    </dataValidation>
    <dataValidation type="textLength" showDropDown="1" showInputMessage="1" showErrorMessage="1" error="Vous ne pouvez pas modifier le texte !" sqref="A177:F177">
      <formula1>100</formula1>
      <formula2>100</formula2>
    </dataValidation>
    <dataValidation type="list" allowBlank="1" showInputMessage="1" showErrorMessage="1" sqref="F3">
      <formula1>$N$3:$N$4</formula1>
    </dataValidation>
    <dataValidation type="list" showInputMessage="1" showErrorMessage="1" error="Vous devez sélectionner une valeur dans la liste !" sqref="A11:B11">
      <formula1>$N$10:$N$16</formula1>
    </dataValidation>
    <dataValidation type="list" showInputMessage="1" showErrorMessage="1" error="Vous devez sélectionner une valeur dans la liste !" sqref="A14:B14">
      <formula1>$N$18:$N$21</formula1>
    </dataValidation>
    <dataValidation type="list" showInputMessage="1" showErrorMessage="1" error="Vous devez sélectionner une valeur dans la liste !" sqref="A17:B17">
      <formula1>$N$23:$N$24</formula1>
    </dataValidation>
    <dataValidation type="whole" operator="greaterThanOrEqual" showInputMessage="1" showErrorMessage="1" error="Vous devez saisir un nombre entier supérieur ou égal à 0 !" sqref="B22 C43 C54:C66 C129:D131 D84:D101 C84:C94 C98:C101">
      <formula1>0</formula1>
    </dataValidation>
    <dataValidation type="list" showInputMessage="1" showErrorMessage="1" error="Vous devez sélectionner une valeur dans la liste !" sqref="C45 C76">
      <formula1>$N$37:$N$38</formula1>
    </dataValidation>
    <dataValidation type="whole" operator="greaterThanOrEqual" showInputMessage="1" showErrorMessage="1" error="Vous devez saisir un nombre entier positif ou négatif !" sqref="C95:C97">
      <formula1>-1000000000</formula1>
    </dataValidation>
  </dataValidations>
  <printOptions horizontalCentered="1"/>
  <pageMargins left="0.70866141732283472" right="0.70866141732283472" top="1.1417322834645669" bottom="0.74803149606299213" header="0.31496062992125984" footer="0.31496062992125984"/>
  <pageSetup paperSize="9" scale="55" fitToHeight="2" orientation="portrait" r:id="rId1"/>
  <headerFooter>
    <oddHeader>&amp;L&amp;G&amp;C&amp;"-,Gras"&amp;14Bourses et Prêts d'études - Calculateur en ligne
Stipendien und Ausbildungsdarlehen -Online-Rechner &amp;R&amp;D</oddHeader>
    <oddFooter>Page &amp;P de &amp;N</oddFooter>
  </headerFooter>
  <rowBreaks count="1" manualBreakCount="1">
    <brk id="78" max="21" man="1"/>
  </rowBreaks>
  <ignoredErrors>
    <ignoredError sqref="B84:B101" numberStoredAsText="1"/>
  </ignoredErrors>
  <legacyDrawingHF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122"/>
  <sheetViews>
    <sheetView topLeftCell="A72" zoomScaleNormal="100" workbookViewId="0">
      <selection activeCell="AA2" sqref="AA2"/>
    </sheetView>
  </sheetViews>
  <sheetFormatPr baseColWidth="10" defaultRowHeight="15" x14ac:dyDescent="0.25"/>
  <cols>
    <col min="1" max="1" width="17.7109375" customWidth="1"/>
    <col min="2" max="2" width="24.85546875" customWidth="1"/>
    <col min="3" max="3" width="20.42578125" customWidth="1"/>
    <col min="4" max="4" width="3.140625" customWidth="1"/>
    <col min="5" max="5" width="16" customWidth="1"/>
    <col min="6" max="6" width="13.140625" customWidth="1"/>
    <col min="7" max="7" width="3.7109375" customWidth="1"/>
    <col min="8" max="8" width="8.28515625" style="74" bestFit="1" customWidth="1"/>
    <col min="9" max="9" width="7" hidden="1" customWidth="1"/>
    <col min="10" max="20" width="0" hidden="1" customWidth="1"/>
  </cols>
  <sheetData>
    <row r="1" spans="1:8" ht="64.5" customHeight="1" x14ac:dyDescent="0.25">
      <c r="E1" s="130" t="s">
        <v>209</v>
      </c>
      <c r="F1" s="131">
        <f ca="1">TODAY()</f>
        <v>42968</v>
      </c>
    </row>
    <row r="2" spans="1:8" ht="18.75" x14ac:dyDescent="0.3">
      <c r="A2" s="94" t="s">
        <v>176</v>
      </c>
      <c r="B2" s="60"/>
      <c r="C2" s="60"/>
      <c r="D2" s="60"/>
      <c r="E2" s="60"/>
      <c r="F2" s="60"/>
      <c r="G2" s="60"/>
      <c r="H2" s="60"/>
    </row>
    <row r="4" spans="1:8" x14ac:dyDescent="0.25">
      <c r="A4" s="3" t="s">
        <v>122</v>
      </c>
      <c r="B4" s="3"/>
      <c r="C4" s="91" t="str">
        <f>Calcul!B3</f>
        <v>2017/2018</v>
      </c>
    </row>
    <row r="5" spans="1:8" x14ac:dyDescent="0.25">
      <c r="C5" s="90"/>
    </row>
    <row r="6" spans="1:8" hidden="1" x14ac:dyDescent="0.25">
      <c r="A6" s="3" t="s">
        <v>123</v>
      </c>
      <c r="B6" s="3"/>
      <c r="C6" s="92">
        <f>Calcul!I37</f>
        <v>0</v>
      </c>
    </row>
    <row r="7" spans="1:8" x14ac:dyDescent="0.25">
      <c r="A7" s="3" t="s">
        <v>125</v>
      </c>
      <c r="B7" s="3"/>
      <c r="C7" s="93" t="str">
        <f>CONCATENATE(Calcul!B37," ",Calcul!B39)</f>
        <v xml:space="preserve"> </v>
      </c>
      <c r="D7" s="93"/>
      <c r="E7" s="93"/>
    </row>
    <row r="8" spans="1:8" x14ac:dyDescent="0.25">
      <c r="A8" s="86" t="s">
        <v>126</v>
      </c>
      <c r="B8" s="86"/>
      <c r="C8" s="111" t="str">
        <f>Calcul!B41</f>
        <v>Ledig</v>
      </c>
    </row>
    <row r="9" spans="1:8" x14ac:dyDescent="0.25">
      <c r="C9" s="90"/>
    </row>
    <row r="11" spans="1:8" x14ac:dyDescent="0.25">
      <c r="A11" s="126" t="s">
        <v>224</v>
      </c>
      <c r="E11" s="124" t="str">
        <f>IF(Calcul!C72=1,"Parents",IF(Calcul!C72=2,"Mère",IF(Calcul!C72=3,"Père","Père")))</f>
        <v>Père</v>
      </c>
      <c r="F11" s="124" t="str">
        <f>IF(Calcul!C72=4,"Mère","")</f>
        <v/>
      </c>
      <c r="H11" s="119" t="s">
        <v>242</v>
      </c>
    </row>
    <row r="12" spans="1:8" x14ac:dyDescent="0.25">
      <c r="A12" s="125" t="s">
        <v>191</v>
      </c>
      <c r="E12">
        <f>Calcul!C129</f>
        <v>0</v>
      </c>
      <c r="F12">
        <f>Calcul!D129</f>
        <v>0</v>
      </c>
    </row>
    <row r="13" spans="1:8" x14ac:dyDescent="0.25">
      <c r="A13" s="125" t="s">
        <v>112</v>
      </c>
      <c r="E13">
        <f>Calcul!C134</f>
        <v>0</v>
      </c>
      <c r="F13">
        <f>Calcul!D134</f>
        <v>0</v>
      </c>
    </row>
    <row r="14" spans="1:8" ht="15.75" thickBot="1" x14ac:dyDescent="0.3">
      <c r="A14" s="125" t="s">
        <v>188</v>
      </c>
      <c r="E14" s="57">
        <f>E12+E13</f>
        <v>0</v>
      </c>
      <c r="F14" s="57">
        <f>F12+F13</f>
        <v>0</v>
      </c>
      <c r="G14" s="25"/>
    </row>
    <row r="15" spans="1:8" ht="15.75" thickTop="1" x14ac:dyDescent="0.25">
      <c r="A15" s="125"/>
    </row>
    <row r="16" spans="1:8" x14ac:dyDescent="0.25">
      <c r="A16" s="125" t="s">
        <v>225</v>
      </c>
      <c r="E16">
        <f>Calcul!C135</f>
        <v>0</v>
      </c>
      <c r="F16">
        <f>Calcul!D135</f>
        <v>0</v>
      </c>
      <c r="H16" s="146"/>
    </row>
    <row r="18" spans="1:8" x14ac:dyDescent="0.25">
      <c r="A18" t="s">
        <v>127</v>
      </c>
      <c r="E18" s="22">
        <f>Calcul!C142</f>
        <v>0</v>
      </c>
      <c r="F18" s="22">
        <f>Calcul!D142</f>
        <v>0</v>
      </c>
      <c r="G18" s="22"/>
      <c r="H18" s="119" t="s">
        <v>129</v>
      </c>
    </row>
    <row r="19" spans="1:8" x14ac:dyDescent="0.25">
      <c r="A19" s="125" t="s">
        <v>226</v>
      </c>
      <c r="E19" s="22">
        <f>Calcul!C143</f>
        <v>0</v>
      </c>
      <c r="F19" s="22">
        <f>Calcul!D143</f>
        <v>0</v>
      </c>
      <c r="G19" s="22"/>
      <c r="H19" s="119" t="s">
        <v>130</v>
      </c>
    </row>
    <row r="20" spans="1:8" ht="15.75" thickBot="1" x14ac:dyDescent="0.3">
      <c r="A20" t="s">
        <v>131</v>
      </c>
      <c r="E20" s="112">
        <f>E18+E19</f>
        <v>0</v>
      </c>
      <c r="F20" s="112">
        <f>F18+F19</f>
        <v>0</v>
      </c>
      <c r="G20" s="105"/>
    </row>
    <row r="21" spans="1:8" ht="15.75" thickTop="1" x14ac:dyDescent="0.25">
      <c r="G21" s="69"/>
    </row>
    <row r="22" spans="1:8" x14ac:dyDescent="0.25">
      <c r="A22" s="126" t="str">
        <f ca="1">CONCATENATE("Revenu déterminant des parents   (Base : Taxation ", Calcul!O8, ")")</f>
        <v>Revenu déterminant des parents   (Base : Taxation 2015)</v>
      </c>
      <c r="G22" s="69"/>
    </row>
    <row r="23" spans="1:8" x14ac:dyDescent="0.25">
      <c r="A23" s="16" t="s">
        <v>195</v>
      </c>
      <c r="B23" s="16"/>
      <c r="C23" s="16"/>
      <c r="D23" s="77" t="s">
        <v>132</v>
      </c>
      <c r="E23" s="17">
        <f>Calcul!C84</f>
        <v>0</v>
      </c>
      <c r="F23" s="17">
        <f>Calcul!D84</f>
        <v>0</v>
      </c>
      <c r="G23" s="106"/>
      <c r="H23" s="120" t="s">
        <v>133</v>
      </c>
    </row>
    <row r="24" spans="1:8" x14ac:dyDescent="0.25">
      <c r="A24" s="78" t="s">
        <v>192</v>
      </c>
      <c r="B24" s="78"/>
      <c r="C24" s="79"/>
      <c r="D24" s="79"/>
      <c r="E24" s="95">
        <f>Calcul!C85</f>
        <v>0</v>
      </c>
      <c r="F24" s="95">
        <f>Calcul!D85</f>
        <v>0</v>
      </c>
      <c r="G24" s="107"/>
      <c r="H24" s="120"/>
    </row>
    <row r="25" spans="1:8" x14ac:dyDescent="0.25">
      <c r="A25" s="80" t="s">
        <v>193</v>
      </c>
      <c r="B25" s="80"/>
      <c r="C25" s="79"/>
      <c r="D25" s="79"/>
      <c r="E25" s="96">
        <f>Calcul!C88</f>
        <v>0</v>
      </c>
      <c r="F25" s="96">
        <f>Calcul!D88</f>
        <v>0</v>
      </c>
      <c r="G25" s="107"/>
      <c r="H25" s="120"/>
    </row>
    <row r="26" spans="1:8" x14ac:dyDescent="0.25">
      <c r="A26" s="80" t="s">
        <v>134</v>
      </c>
      <c r="B26" s="80"/>
      <c r="C26" s="79"/>
      <c r="D26" s="79"/>
      <c r="E26" s="96">
        <f>Calcul!C105</f>
        <v>0</v>
      </c>
      <c r="F26" s="96">
        <f>Calcul!D105</f>
        <v>0</v>
      </c>
      <c r="G26" s="107"/>
      <c r="H26" s="120"/>
    </row>
    <row r="27" spans="1:8" x14ac:dyDescent="0.25">
      <c r="A27" s="80" t="s">
        <v>194</v>
      </c>
      <c r="B27" s="80"/>
      <c r="C27" s="79"/>
      <c r="D27" s="79"/>
      <c r="E27" s="96">
        <f>Calcul!C89</f>
        <v>0</v>
      </c>
      <c r="F27" s="96">
        <f>Calcul!D89</f>
        <v>0</v>
      </c>
      <c r="G27" s="107"/>
      <c r="H27" s="120"/>
    </row>
    <row r="28" spans="1:8" x14ac:dyDescent="0.25">
      <c r="A28" s="80" t="s">
        <v>135</v>
      </c>
      <c r="B28" s="80"/>
      <c r="C28" s="79"/>
      <c r="D28" s="79"/>
      <c r="E28" s="96">
        <f>Calcul!C106</f>
        <v>0</v>
      </c>
      <c r="F28" s="96">
        <f>Calcul!D106</f>
        <v>0</v>
      </c>
      <c r="G28" s="107"/>
      <c r="H28" s="120"/>
    </row>
    <row r="29" spans="1:8" x14ac:dyDescent="0.25">
      <c r="A29" s="48" t="s">
        <v>136</v>
      </c>
      <c r="B29" s="48"/>
      <c r="C29" s="48"/>
      <c r="D29" s="48" t="s">
        <v>132</v>
      </c>
      <c r="E29" s="97">
        <f>Calcul!C113</f>
        <v>0</v>
      </c>
      <c r="F29" s="97">
        <f>Calcul!D113</f>
        <v>0</v>
      </c>
      <c r="G29" s="106"/>
      <c r="H29" s="120"/>
    </row>
    <row r="30" spans="1:8" x14ac:dyDescent="0.25">
      <c r="A30" t="s">
        <v>196</v>
      </c>
      <c r="D30" t="s">
        <v>132</v>
      </c>
      <c r="E30" s="22">
        <f>Calcul!C94</f>
        <v>0</v>
      </c>
      <c r="F30" s="22">
        <f>Calcul!D94</f>
        <v>0</v>
      </c>
      <c r="G30" s="108"/>
      <c r="H30" s="120"/>
    </row>
    <row r="31" spans="1:8" x14ac:dyDescent="0.25">
      <c r="A31" s="127" t="s">
        <v>208</v>
      </c>
      <c r="B31" s="16"/>
      <c r="C31" s="81"/>
      <c r="D31" s="16" t="s">
        <v>132</v>
      </c>
      <c r="E31" s="17">
        <f>Calcul!C109</f>
        <v>0</v>
      </c>
      <c r="F31" s="17">
        <f>Calcul!D109</f>
        <v>0</v>
      </c>
      <c r="G31" s="106"/>
      <c r="H31" s="120"/>
    </row>
    <row r="32" spans="1:8" x14ac:dyDescent="0.25">
      <c r="A32" s="16" t="s">
        <v>197</v>
      </c>
      <c r="B32" s="16"/>
      <c r="C32" s="16"/>
      <c r="D32" s="16" t="s">
        <v>137</v>
      </c>
      <c r="E32" s="17">
        <f>Calcul!C99</f>
        <v>0</v>
      </c>
      <c r="F32" s="17">
        <f>Calcul!D99</f>
        <v>0</v>
      </c>
      <c r="G32" s="106"/>
      <c r="H32" s="120"/>
    </row>
    <row r="33" spans="1:8" x14ac:dyDescent="0.25">
      <c r="A33" s="16" t="s">
        <v>198</v>
      </c>
      <c r="B33" s="16"/>
      <c r="C33" s="16"/>
      <c r="D33" s="16" t="s">
        <v>137</v>
      </c>
      <c r="E33" s="17">
        <f>Calcul!C102</f>
        <v>0</v>
      </c>
      <c r="F33" s="17">
        <f>Calcul!D102</f>
        <v>0</v>
      </c>
      <c r="G33" s="106"/>
      <c r="H33" s="120"/>
    </row>
    <row r="34" spans="1:8" ht="15.75" thickBot="1" x14ac:dyDescent="0.3">
      <c r="A34" s="3" t="s">
        <v>173</v>
      </c>
      <c r="E34" s="98">
        <f>E23+E29+E30+E31-E32-E33</f>
        <v>0</v>
      </c>
      <c r="F34" s="98">
        <f>F23+F29+F30+F31-F32-F33</f>
        <v>0</v>
      </c>
      <c r="G34" s="105"/>
    </row>
    <row r="35" spans="1:8" ht="15.75" thickTop="1" x14ac:dyDescent="0.25">
      <c r="A35" s="3"/>
      <c r="E35" s="99"/>
      <c r="F35" s="99"/>
      <c r="G35" s="105"/>
    </row>
    <row r="36" spans="1:8" x14ac:dyDescent="0.25">
      <c r="A36" s="3" t="s">
        <v>91</v>
      </c>
      <c r="E36" s="113">
        <f>ROUNDDOWN(E34,-2)</f>
        <v>0</v>
      </c>
      <c r="F36" s="113">
        <f>ROUNDDOWN(F34,-2)</f>
        <v>0</v>
      </c>
      <c r="G36" s="105"/>
    </row>
    <row r="37" spans="1:8" x14ac:dyDescent="0.25">
      <c r="G37" s="69"/>
    </row>
    <row r="38" spans="1:8" x14ac:dyDescent="0.25">
      <c r="A38" s="75" t="s">
        <v>92</v>
      </c>
      <c r="G38" s="69"/>
    </row>
    <row r="39" spans="1:8" x14ac:dyDescent="0.25">
      <c r="A39" t="s">
        <v>138</v>
      </c>
      <c r="E39" s="129" t="str">
        <f>IF(E36&lt;180000,IF(Calcul!H45=0,"Oui","Non"),IF(Calcul!H45=1,"Revenu &gt;180'000","Oui"))</f>
        <v>Oui</v>
      </c>
      <c r="F39" s="129" t="str">
        <f>E39</f>
        <v>Oui</v>
      </c>
      <c r="G39" s="69"/>
      <c r="H39" s="119" t="str">
        <f>IF(E39="Revenu &gt;180'000","Art. 12.3","Art. 12")</f>
        <v>Art. 12</v>
      </c>
    </row>
    <row r="40" spans="1:8" x14ac:dyDescent="0.25">
      <c r="G40" s="69"/>
    </row>
    <row r="41" spans="1:8" x14ac:dyDescent="0.25">
      <c r="A41" s="125" t="s">
        <v>227</v>
      </c>
      <c r="E41" s="100">
        <f>E36-E20</f>
        <v>0</v>
      </c>
      <c r="F41" s="100">
        <f>F36-F20</f>
        <v>0</v>
      </c>
      <c r="G41" s="109"/>
      <c r="H41" s="119" t="s">
        <v>140</v>
      </c>
    </row>
    <row r="42" spans="1:8" x14ac:dyDescent="0.25">
      <c r="A42" t="s">
        <v>141</v>
      </c>
      <c r="E42" s="129" t="str">
        <f>IF(Calcul!C148=1,"Oui","Non")</f>
        <v>Non</v>
      </c>
      <c r="F42" s="129" t="str">
        <f>IF(Calcul!D148=1,"Oui","Non")</f>
        <v>Non</v>
      </c>
      <c r="G42" s="69"/>
      <c r="H42" s="119" t="s">
        <v>142</v>
      </c>
    </row>
    <row r="43" spans="1:8" ht="15.75" thickBot="1" x14ac:dyDescent="0.3">
      <c r="A43" t="s">
        <v>143</v>
      </c>
      <c r="E43" s="101">
        <f>Calcul!C150</f>
        <v>0</v>
      </c>
      <c r="F43" s="101">
        <f>Calcul!D150</f>
        <v>0</v>
      </c>
      <c r="G43" s="105"/>
    </row>
    <row r="44" spans="1:8" ht="15.75" thickTop="1" x14ac:dyDescent="0.25">
      <c r="G44" s="69"/>
    </row>
    <row r="45" spans="1:8" x14ac:dyDescent="0.25">
      <c r="A45" s="125" t="s">
        <v>189</v>
      </c>
      <c r="E45">
        <f>E13</f>
        <v>0</v>
      </c>
      <c r="F45">
        <f>F13</f>
        <v>0</v>
      </c>
      <c r="G45" s="69"/>
    </row>
    <row r="46" spans="1:8" x14ac:dyDescent="0.25">
      <c r="A46" s="125" t="s">
        <v>190</v>
      </c>
      <c r="E46" s="83">
        <f>Calcul!C137</f>
        <v>0</v>
      </c>
      <c r="F46" s="83">
        <f>Calcul!D137</f>
        <v>0</v>
      </c>
      <c r="G46" s="83"/>
    </row>
    <row r="47" spans="1:8" ht="15.75" thickBot="1" x14ac:dyDescent="0.3">
      <c r="A47" t="s">
        <v>144</v>
      </c>
      <c r="E47" s="82">
        <f>E45+E46</f>
        <v>0</v>
      </c>
      <c r="F47" s="82">
        <f>F45+F46</f>
        <v>0</v>
      </c>
      <c r="G47" s="110"/>
    </row>
    <row r="48" spans="1:8" ht="16.5" thickTop="1" thickBot="1" x14ac:dyDescent="0.3">
      <c r="E48" s="84"/>
      <c r="F48" s="84"/>
      <c r="G48" s="83"/>
    </row>
    <row r="49" spans="1:8" ht="16.5" thickTop="1" thickBot="1" x14ac:dyDescent="0.3">
      <c r="A49" s="3" t="s">
        <v>145</v>
      </c>
      <c r="E49" s="114">
        <f>Calcul!C152</f>
        <v>0</v>
      </c>
      <c r="F49" s="114">
        <f>Calcul!D152</f>
        <v>0</v>
      </c>
      <c r="G49" s="105"/>
      <c r="H49" s="119" t="s">
        <v>146</v>
      </c>
    </row>
    <row r="50" spans="1:8" ht="15.75" thickTop="1" x14ac:dyDescent="0.25">
      <c r="A50" s="3"/>
      <c r="E50" s="30"/>
      <c r="F50" s="30"/>
      <c r="G50" s="110"/>
      <c r="H50" s="85"/>
    </row>
    <row r="51" spans="1:8" x14ac:dyDescent="0.25">
      <c r="A51" s="3"/>
      <c r="E51" s="30"/>
      <c r="F51" s="30"/>
      <c r="G51" s="110"/>
      <c r="H51" s="85"/>
    </row>
    <row r="52" spans="1:8" x14ac:dyDescent="0.25">
      <c r="A52" s="75" t="s">
        <v>147</v>
      </c>
      <c r="E52" s="30"/>
      <c r="F52" s="30"/>
      <c r="G52" s="110"/>
      <c r="H52" s="85"/>
    </row>
    <row r="53" spans="1:8" x14ac:dyDescent="0.25">
      <c r="A53" s="86" t="s">
        <v>237</v>
      </c>
      <c r="D53" s="87" t="s">
        <v>132</v>
      </c>
      <c r="E53" s="26">
        <f>Calcul!C54</f>
        <v>0</v>
      </c>
      <c r="F53" s="30"/>
      <c r="G53" s="110"/>
      <c r="H53" s="119" t="s">
        <v>148</v>
      </c>
    </row>
    <row r="54" spans="1:8" x14ac:dyDescent="0.25">
      <c r="A54" s="86" t="s">
        <v>78</v>
      </c>
      <c r="D54" s="87" t="s">
        <v>132</v>
      </c>
      <c r="E54" s="26">
        <f>Calcul!C55</f>
        <v>0</v>
      </c>
      <c r="F54" s="30"/>
      <c r="G54" s="110"/>
      <c r="H54" s="119"/>
    </row>
    <row r="55" spans="1:8" x14ac:dyDescent="0.25">
      <c r="A55" s="86" t="s">
        <v>241</v>
      </c>
      <c r="D55" s="87" t="s">
        <v>132</v>
      </c>
      <c r="E55" s="26">
        <f>Calcul!C56</f>
        <v>0</v>
      </c>
      <c r="F55" s="30"/>
      <c r="G55" s="110"/>
      <c r="H55" s="119"/>
    </row>
    <row r="56" spans="1:8" x14ac:dyDescent="0.25">
      <c r="A56" s="86" t="s">
        <v>149</v>
      </c>
      <c r="D56" s="87" t="s">
        <v>132</v>
      </c>
      <c r="E56" s="26">
        <f>Calcul!C57</f>
        <v>0</v>
      </c>
      <c r="F56" s="30"/>
      <c r="G56" s="110"/>
      <c r="H56" s="119"/>
    </row>
    <row r="57" spans="1:8" ht="15.75" thickBot="1" x14ac:dyDescent="0.3">
      <c r="A57" s="3" t="s">
        <v>150</v>
      </c>
      <c r="B57" s="3"/>
      <c r="C57" s="3"/>
      <c r="D57" s="3"/>
      <c r="E57" s="101">
        <f>Calcul!C58</f>
        <v>0</v>
      </c>
      <c r="F57" s="30"/>
      <c r="G57" s="110"/>
      <c r="H57" s="119"/>
    </row>
    <row r="58" spans="1:8" ht="15.75" thickTop="1" x14ac:dyDescent="0.25">
      <c r="A58" s="86" t="s">
        <v>151</v>
      </c>
      <c r="B58" s="86"/>
      <c r="C58" s="86"/>
      <c r="D58" s="88" t="s">
        <v>137</v>
      </c>
      <c r="E58" s="102">
        <f>IF(E57=0,0,Calcul!C60)</f>
        <v>0</v>
      </c>
      <c r="F58" s="30"/>
      <c r="G58" s="110"/>
      <c r="H58" s="119"/>
    </row>
    <row r="59" spans="1:8" ht="15.75" thickBot="1" x14ac:dyDescent="0.3">
      <c r="A59" s="3" t="s">
        <v>184</v>
      </c>
      <c r="B59" s="3"/>
      <c r="C59" s="3"/>
      <c r="D59" s="3"/>
      <c r="E59" s="98">
        <f>IF(E57=0,0,Calcul!C61)</f>
        <v>0</v>
      </c>
      <c r="F59" s="30"/>
      <c r="G59" s="110"/>
      <c r="H59" s="119"/>
    </row>
    <row r="60" spans="1:8" ht="15.75" thickTop="1" x14ac:dyDescent="0.25">
      <c r="A60" s="3"/>
      <c r="B60" s="3"/>
      <c r="C60" s="3"/>
      <c r="D60" s="3"/>
      <c r="E60" s="99"/>
      <c r="F60" s="30"/>
      <c r="G60" s="110"/>
      <c r="H60" s="119"/>
    </row>
    <row r="61" spans="1:8" x14ac:dyDescent="0.25">
      <c r="A61" s="3" t="s">
        <v>147</v>
      </c>
      <c r="E61" s="113">
        <f>IF(E59&lt;0,0,ROUNDDOWN(E59,-2))</f>
        <v>0</v>
      </c>
      <c r="F61" s="30"/>
      <c r="G61" s="110"/>
      <c r="H61" s="85"/>
    </row>
    <row r="62" spans="1:8" x14ac:dyDescent="0.25">
      <c r="A62" s="3"/>
      <c r="E62" s="99"/>
      <c r="F62" s="30"/>
      <c r="G62" s="110"/>
      <c r="H62" s="85"/>
    </row>
    <row r="63" spans="1:8" x14ac:dyDescent="0.25">
      <c r="A63" s="75" t="s">
        <v>152</v>
      </c>
      <c r="E63" s="99"/>
      <c r="F63" s="30"/>
      <c r="G63" s="110"/>
      <c r="H63" s="85"/>
    </row>
    <row r="64" spans="1:8" x14ac:dyDescent="0.25">
      <c r="A64" s="86" t="s">
        <v>153</v>
      </c>
      <c r="D64" s="87"/>
      <c r="E64" s="26">
        <f>Calcul!C66</f>
        <v>0</v>
      </c>
      <c r="F64" s="30"/>
      <c r="G64" s="110"/>
      <c r="H64" s="85"/>
    </row>
    <row r="65" spans="1:8" ht="15.75" thickBot="1" x14ac:dyDescent="0.3">
      <c r="A65" s="3" t="s">
        <v>154</v>
      </c>
      <c r="B65" s="3"/>
      <c r="C65" s="3"/>
      <c r="D65" s="3"/>
      <c r="E65" s="114">
        <f>Calcul!C67</f>
        <v>0</v>
      </c>
      <c r="F65" s="30"/>
      <c r="G65" s="110"/>
      <c r="H65" s="85"/>
    </row>
    <row r="66" spans="1:8" ht="15.75" thickTop="1" x14ac:dyDescent="0.25">
      <c r="A66" s="3"/>
      <c r="B66" s="3"/>
      <c r="C66" s="3"/>
      <c r="D66" s="3"/>
      <c r="E66" s="99"/>
      <c r="F66" s="30"/>
      <c r="G66" s="110"/>
      <c r="H66" s="85"/>
    </row>
    <row r="67" spans="1:8" x14ac:dyDescent="0.25">
      <c r="A67" s="86"/>
      <c r="E67" s="22"/>
      <c r="G67" s="69"/>
    </row>
    <row r="68" spans="1:8" x14ac:dyDescent="0.25">
      <c r="A68" s="75" t="s">
        <v>155</v>
      </c>
      <c r="E68" s="22"/>
      <c r="G68" s="69"/>
    </row>
    <row r="69" spans="1:8" x14ac:dyDescent="0.25">
      <c r="E69" s="22"/>
      <c r="G69" s="69"/>
    </row>
    <row r="70" spans="1:8" hidden="1" x14ac:dyDescent="0.25">
      <c r="A70" s="86" t="s">
        <v>17</v>
      </c>
      <c r="B70" s="86"/>
      <c r="C70" s="132" t="e">
        <f>VLOOKUP(C6,#REF!,10,FALSE)</f>
        <v>#REF!</v>
      </c>
      <c r="D70" s="60"/>
      <c r="E70" s="60"/>
    </row>
    <row r="71" spans="1:8" hidden="1" x14ac:dyDescent="0.25">
      <c r="A71" s="86" t="s">
        <v>175</v>
      </c>
      <c r="B71" s="86"/>
      <c r="C71" s="132" t="e">
        <f>VLOOKUP(C6,#REF!,12,FALSE)</f>
        <v>#REF!</v>
      </c>
      <c r="D71" s="60"/>
      <c r="E71" s="60"/>
    </row>
    <row r="72" spans="1:8" x14ac:dyDescent="0.25">
      <c r="A72" s="86" t="s">
        <v>1</v>
      </c>
      <c r="B72" s="86"/>
      <c r="C72" s="132" t="str">
        <f>Calcul!A11</f>
        <v xml:space="preserve">Mittelschulausbildung (Kollegium, FMS, HMS, ...) </v>
      </c>
      <c r="D72" s="60"/>
      <c r="E72" s="60"/>
      <c r="F72" s="60"/>
      <c r="G72" s="60"/>
    </row>
    <row r="73" spans="1:8" x14ac:dyDescent="0.25">
      <c r="A73" s="86" t="s">
        <v>5</v>
      </c>
      <c r="B73" s="86"/>
      <c r="C73" s="132" t="str">
        <f>Calcul!A14</f>
        <v>Mittagessen auswärts</v>
      </c>
      <c r="D73" s="60"/>
      <c r="E73" s="60"/>
      <c r="F73" s="60"/>
      <c r="G73" s="60"/>
    </row>
    <row r="74" spans="1:8" x14ac:dyDescent="0.25">
      <c r="A74" s="125" t="s">
        <v>186</v>
      </c>
      <c r="B74" s="125"/>
      <c r="C74" s="128">
        <f>Calcul!B164</f>
        <v>2</v>
      </c>
    </row>
    <row r="75" spans="1:8" x14ac:dyDescent="0.25">
      <c r="A75" s="86"/>
      <c r="B75" s="86"/>
      <c r="C75" s="111"/>
    </row>
    <row r="76" spans="1:8" x14ac:dyDescent="0.25">
      <c r="A76" t="s">
        <v>182</v>
      </c>
      <c r="E76" s="22">
        <f>Calcul!B26</f>
        <v>6000</v>
      </c>
      <c r="G76" s="69"/>
      <c r="H76" s="119" t="s">
        <v>178</v>
      </c>
    </row>
    <row r="77" spans="1:8" x14ac:dyDescent="0.25">
      <c r="E77" s="22"/>
      <c r="G77" s="69"/>
      <c r="H77" s="85"/>
    </row>
    <row r="78" spans="1:8" x14ac:dyDescent="0.25">
      <c r="A78" t="s">
        <v>179</v>
      </c>
      <c r="E78" s="22">
        <f>Calcul!C43</f>
        <v>0</v>
      </c>
      <c r="G78" s="69"/>
      <c r="H78" s="119" t="s">
        <v>180</v>
      </c>
    </row>
    <row r="79" spans="1:8" x14ac:dyDescent="0.25">
      <c r="A79" t="s">
        <v>181</v>
      </c>
      <c r="E79" s="22">
        <f>E78*4000</f>
        <v>0</v>
      </c>
      <c r="G79" s="69"/>
      <c r="H79" s="119"/>
    </row>
    <row r="80" spans="1:8" x14ac:dyDescent="0.25">
      <c r="E80" s="22"/>
      <c r="G80" s="69"/>
    </row>
    <row r="81" spans="1:8" x14ac:dyDescent="0.25">
      <c r="A81" t="s">
        <v>183</v>
      </c>
      <c r="E81" s="22">
        <f>Calcul!C156</f>
        <v>6000</v>
      </c>
      <c r="G81" s="69"/>
      <c r="H81" s="119" t="s">
        <v>156</v>
      </c>
    </row>
    <row r="82" spans="1:8" x14ac:dyDescent="0.25">
      <c r="A82" t="s">
        <v>147</v>
      </c>
      <c r="D82" s="56" t="s">
        <v>137</v>
      </c>
      <c r="E82" s="22">
        <f>E61</f>
        <v>0</v>
      </c>
      <c r="G82" s="69"/>
      <c r="H82" s="119"/>
    </row>
    <row r="83" spans="1:8" x14ac:dyDescent="0.25">
      <c r="A83" t="s">
        <v>154</v>
      </c>
      <c r="D83" s="56" t="s">
        <v>137</v>
      </c>
      <c r="E83" s="22">
        <f>IF(E65&lt;0,0,ROUNDDOWN(E65,-2))</f>
        <v>0</v>
      </c>
      <c r="G83" s="69"/>
      <c r="H83" s="119"/>
    </row>
    <row r="84" spans="1:8" x14ac:dyDescent="0.25">
      <c r="A84" t="s">
        <v>92</v>
      </c>
      <c r="D84" s="56" t="s">
        <v>137</v>
      </c>
      <c r="E84" s="22">
        <f>E49</f>
        <v>0</v>
      </c>
      <c r="G84" s="69"/>
      <c r="H84" s="119"/>
    </row>
    <row r="85" spans="1:8" x14ac:dyDescent="0.25">
      <c r="D85" s="56" t="s">
        <v>137</v>
      </c>
      <c r="E85" s="97">
        <f>F49</f>
        <v>0</v>
      </c>
      <c r="G85" s="69"/>
      <c r="H85" s="119"/>
    </row>
    <row r="86" spans="1:8" ht="15.75" thickBot="1" x14ac:dyDescent="0.3">
      <c r="A86" t="s">
        <v>104</v>
      </c>
      <c r="E86" s="98">
        <f>E81-E82-E83-E84-E85</f>
        <v>6000</v>
      </c>
      <c r="G86" s="69"/>
    </row>
    <row r="87" spans="1:8" ht="15.75" thickTop="1" x14ac:dyDescent="0.25">
      <c r="G87" s="69"/>
    </row>
    <row r="88" spans="1:8" x14ac:dyDescent="0.25">
      <c r="A88" s="128" t="s">
        <v>174</v>
      </c>
      <c r="B88" s="144" t="str">
        <f>IF(E39="Revenu &gt;180'000","Revenu déterminant &gt; 180'000",IF(C74=1,"(1 semestre)",""))</f>
        <v/>
      </c>
      <c r="C88" s="115">
        <f>Calcul!C165</f>
        <v>6000</v>
      </c>
      <c r="G88" s="69"/>
      <c r="H88" s="147" t="str">
        <f>IF(E39="Revenu &gt;180'000","Art. 12.3","")</f>
        <v/>
      </c>
    </row>
    <row r="89" spans="1:8" x14ac:dyDescent="0.25">
      <c r="D89" s="89"/>
      <c r="E89" s="116" t="s">
        <v>177</v>
      </c>
      <c r="F89" s="116"/>
      <c r="G89" s="89"/>
      <c r="H89" s="143" t="str">
        <f>IF(E39="Non","Art. 12","Art. 8")</f>
        <v>Art. 8</v>
      </c>
    </row>
    <row r="90" spans="1:8" x14ac:dyDescent="0.25">
      <c r="A90" s="71" t="s">
        <v>106</v>
      </c>
      <c r="B90" s="73">
        <f>Calcul!B166</f>
        <v>1</v>
      </c>
      <c r="C90" s="103">
        <f>Calcul!C166</f>
        <v>6000</v>
      </c>
      <c r="D90" s="104"/>
      <c r="E90" s="117">
        <f>Calcul!D166</f>
        <v>6000</v>
      </c>
      <c r="F90" s="118" t="s">
        <v>118</v>
      </c>
      <c r="G90" s="69"/>
      <c r="H90" s="119"/>
    </row>
    <row r="91" spans="1:8" x14ac:dyDescent="0.25">
      <c r="A91" s="71" t="s">
        <v>107</v>
      </c>
      <c r="B91" s="73">
        <f>Calcul!B167</f>
        <v>0</v>
      </c>
      <c r="C91" s="103">
        <f>Calcul!C167</f>
        <v>0</v>
      </c>
      <c r="D91" s="104"/>
      <c r="E91" s="117">
        <f>Calcul!D167</f>
        <v>0</v>
      </c>
      <c r="F91" s="118" t="s">
        <v>118</v>
      </c>
      <c r="G91" s="69"/>
      <c r="H91" s="119"/>
    </row>
    <row r="92" spans="1:8" x14ac:dyDescent="0.25">
      <c r="G92" s="69"/>
    </row>
    <row r="93" spans="1:8" x14ac:dyDescent="0.25">
      <c r="G93" s="69"/>
    </row>
    <row r="94" spans="1:8" x14ac:dyDescent="0.25">
      <c r="A94" s="140" t="str">
        <f>IF(H88="Art. 12.3","Art. 12.3 : Lorsque le revenu déterminant des parents est &gt; 180'000 francs, aucune aide n'est allouée !","")</f>
        <v/>
      </c>
      <c r="G94" s="69"/>
    </row>
    <row r="95" spans="1:8" x14ac:dyDescent="0.25">
      <c r="A95" t="s">
        <v>157</v>
      </c>
      <c r="G95" s="69"/>
    </row>
    <row r="96" spans="1:8" x14ac:dyDescent="0.25">
      <c r="G96" s="69"/>
    </row>
    <row r="97" spans="1:8" x14ac:dyDescent="0.25">
      <c r="G97" s="69"/>
    </row>
    <row r="98" spans="1:8" x14ac:dyDescent="0.25">
      <c r="G98" s="69"/>
    </row>
    <row r="99" spans="1:8" x14ac:dyDescent="0.25">
      <c r="E99" s="8"/>
      <c r="F99" s="8"/>
      <c r="G99" s="69"/>
    </row>
    <row r="100" spans="1:8" x14ac:dyDescent="0.25">
      <c r="E100" s="8"/>
      <c r="F100" s="8"/>
      <c r="G100" s="69"/>
    </row>
    <row r="101" spans="1:8" x14ac:dyDescent="0.25">
      <c r="G101" s="69"/>
    </row>
    <row r="102" spans="1:8" hidden="1" x14ac:dyDescent="0.25">
      <c r="C102" s="75" t="s">
        <v>158</v>
      </c>
      <c r="D102" s="75"/>
      <c r="E102" s="75" t="s">
        <v>159</v>
      </c>
      <c r="G102" s="69"/>
    </row>
    <row r="103" spans="1:8" hidden="1" x14ac:dyDescent="0.25">
      <c r="A103" t="s">
        <v>160</v>
      </c>
      <c r="G103" s="69"/>
    </row>
    <row r="104" spans="1:8" hidden="1" x14ac:dyDescent="0.25">
      <c r="C104" t="s">
        <v>161</v>
      </c>
      <c r="E104">
        <v>0</v>
      </c>
      <c r="G104" s="69"/>
      <c r="H104" s="85"/>
    </row>
    <row r="105" spans="1:8" hidden="1" x14ac:dyDescent="0.25">
      <c r="G105" s="69"/>
    </row>
    <row r="106" spans="1:8" hidden="1" x14ac:dyDescent="0.25">
      <c r="A106" t="s">
        <v>162</v>
      </c>
      <c r="G106" s="69"/>
    </row>
    <row r="107" spans="1:8" hidden="1" x14ac:dyDescent="0.25">
      <c r="B107" s="56" t="s">
        <v>163</v>
      </c>
      <c r="C107" t="s">
        <v>128</v>
      </c>
      <c r="E107" s="3" t="s">
        <v>124</v>
      </c>
      <c r="G107" s="69"/>
      <c r="H107" s="76" t="s">
        <v>139</v>
      </c>
    </row>
    <row r="108" spans="1:8" hidden="1" x14ac:dyDescent="0.25">
      <c r="B108" t="s">
        <v>164</v>
      </c>
      <c r="C108" t="s">
        <v>128</v>
      </c>
      <c r="E108" s="3" t="s">
        <v>124</v>
      </c>
      <c r="G108" s="69"/>
      <c r="H108" s="76"/>
    </row>
    <row r="109" spans="1:8" hidden="1" x14ac:dyDescent="0.25">
      <c r="E109" s="3"/>
      <c r="G109" s="69"/>
    </row>
    <row r="110" spans="1:8" hidden="1" x14ac:dyDescent="0.25">
      <c r="A110" t="s">
        <v>165</v>
      </c>
    </row>
    <row r="111" spans="1:8" hidden="1" x14ac:dyDescent="0.25">
      <c r="B111" s="56" t="s">
        <v>106</v>
      </c>
      <c r="C111" t="s">
        <v>128</v>
      </c>
      <c r="E111" s="3" t="s">
        <v>124</v>
      </c>
    </row>
    <row r="112" spans="1:8" hidden="1" x14ac:dyDescent="0.25">
      <c r="B112" t="s">
        <v>166</v>
      </c>
      <c r="C112" t="s">
        <v>128</v>
      </c>
      <c r="E112" s="3" t="s">
        <v>124</v>
      </c>
    </row>
    <row r="113" spans="1:8" hidden="1" x14ac:dyDescent="0.25"/>
    <row r="114" spans="1:8" hidden="1" x14ac:dyDescent="0.25">
      <c r="A114" t="s">
        <v>167</v>
      </c>
    </row>
    <row r="115" spans="1:8" hidden="1" x14ac:dyDescent="0.25">
      <c r="B115" s="56" t="s">
        <v>168</v>
      </c>
      <c r="C115" t="s">
        <v>128</v>
      </c>
      <c r="E115" s="3" t="s">
        <v>124</v>
      </c>
      <c r="H115" s="76" t="s">
        <v>169</v>
      </c>
    </row>
    <row r="116" spans="1:8" hidden="1" x14ac:dyDescent="0.25"/>
    <row r="117" spans="1:8" hidden="1" x14ac:dyDescent="0.25">
      <c r="A117" t="s">
        <v>170</v>
      </c>
    </row>
    <row r="118" spans="1:8" hidden="1" x14ac:dyDescent="0.25">
      <c r="B118" s="56" t="s">
        <v>171</v>
      </c>
      <c r="C118" t="s">
        <v>128</v>
      </c>
      <c r="E118" s="3" t="s">
        <v>124</v>
      </c>
      <c r="H118" s="76" t="s">
        <v>169</v>
      </c>
    </row>
    <row r="119" spans="1:8" hidden="1" x14ac:dyDescent="0.25">
      <c r="B119" t="s">
        <v>172</v>
      </c>
      <c r="C119" t="s">
        <v>128</v>
      </c>
      <c r="E119" s="3" t="s">
        <v>124</v>
      </c>
      <c r="H119" s="76"/>
    </row>
    <row r="120" spans="1:8" hidden="1" x14ac:dyDescent="0.25"/>
    <row r="121" spans="1:8" hidden="1" x14ac:dyDescent="0.25"/>
    <row r="122" spans="1:8" hidden="1" x14ac:dyDescent="0.25"/>
  </sheetData>
  <sheetProtection password="ACB8" sheet="1" objects="1" scenarios="1" selectLockedCells="1" selectUnlockedCells="1"/>
  <conditionalFormatting sqref="F12:F49">
    <cfRule type="expression" dxfId="0" priority="1">
      <formula>$F$11=""</formula>
    </cfRule>
  </conditionalFormatting>
  <printOptions horizontalCentered="1"/>
  <pageMargins left="0.70866141732283472" right="0.70866141732283472" top="0.74803149606299213" bottom="0.74803149606299213" header="0.31496062992125984" footer="0.31496062992125984"/>
  <pageSetup paperSize="9" scale="80" orientation="portrait" r:id="rId1"/>
  <headerFooter>
    <oddHeader xml:space="preserve">&amp;L&amp;G&amp;C&amp;"-,Gras"Calculateur des bourses et prêts d'études
du canton du Valais&amp;R
</oddHeader>
    <oddFooter>&amp;RPage &amp;P / &amp;N</oddFooter>
  </headerFooter>
  <rowBreaks count="1" manualBreakCount="1">
    <brk id="5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M82"/>
  <sheetViews>
    <sheetView zoomScaleNormal="100" workbookViewId="0">
      <selection activeCell="Q7" sqref="Q7"/>
    </sheetView>
  </sheetViews>
  <sheetFormatPr baseColWidth="10" defaultRowHeight="15" x14ac:dyDescent="0.25"/>
  <cols>
    <col min="1" max="1" width="20.28515625" style="125" customWidth="1"/>
    <col min="2" max="2" width="24" customWidth="1"/>
    <col min="3" max="3" width="18.5703125" customWidth="1"/>
    <col min="4" max="4" width="5.5703125" bestFit="1" customWidth="1"/>
    <col min="5" max="5" width="16" customWidth="1"/>
    <col min="6" max="6" width="12.5703125" customWidth="1"/>
    <col min="7" max="7" width="3.7109375" customWidth="1"/>
    <col min="8" max="8" width="8.28515625" style="74" bestFit="1" customWidth="1"/>
    <col min="9" max="9" width="7" hidden="1" customWidth="1"/>
    <col min="10" max="11" width="0" hidden="1" customWidth="1"/>
    <col min="12" max="12" width="49.28515625" hidden="1" customWidth="1"/>
    <col min="13" max="13" width="57" hidden="1" customWidth="1"/>
    <col min="14" max="15" width="0" hidden="1" customWidth="1"/>
  </cols>
  <sheetData>
    <row r="1" spans="1:13" ht="64.5" customHeight="1" x14ac:dyDescent="0.25">
      <c r="E1" s="130" t="s">
        <v>209</v>
      </c>
      <c r="F1" s="131">
        <f ca="1">TODAY()</f>
        <v>42968</v>
      </c>
    </row>
    <row r="2" spans="1:13" ht="18.75" x14ac:dyDescent="0.3">
      <c r="A2" s="134" t="s">
        <v>176</v>
      </c>
      <c r="B2" s="60"/>
      <c r="C2" s="60"/>
      <c r="D2" s="60"/>
      <c r="E2" s="60"/>
      <c r="F2" s="60"/>
      <c r="G2" s="60"/>
      <c r="H2" s="60"/>
    </row>
    <row r="4" spans="1:13" x14ac:dyDescent="0.25">
      <c r="A4" s="135" t="s">
        <v>122</v>
      </c>
      <c r="B4" s="3"/>
      <c r="C4" s="91" t="str">
        <f>Calcul!B3</f>
        <v>2017/2018</v>
      </c>
      <c r="L4" s="6" t="s">
        <v>28</v>
      </c>
      <c r="M4" s="7" t="s">
        <v>211</v>
      </c>
    </row>
    <row r="5" spans="1:13" x14ac:dyDescent="0.25">
      <c r="C5" s="90"/>
      <c r="L5" s="9" t="s">
        <v>204</v>
      </c>
      <c r="M5" s="10" t="s">
        <v>212</v>
      </c>
    </row>
    <row r="6" spans="1:13" hidden="1" x14ac:dyDescent="0.25">
      <c r="A6" s="135" t="s">
        <v>123</v>
      </c>
      <c r="B6" s="3"/>
      <c r="C6" s="92">
        <f>Calcul!I37</f>
        <v>0</v>
      </c>
      <c r="L6" s="9" t="s">
        <v>202</v>
      </c>
      <c r="M6" s="10" t="s">
        <v>213</v>
      </c>
    </row>
    <row r="7" spans="1:13" x14ac:dyDescent="0.25">
      <c r="A7" s="135" t="s">
        <v>125</v>
      </c>
      <c r="B7" s="3"/>
      <c r="C7" s="93" t="str">
        <f>CONCATENATE(Calcul!B37," ",Calcul!B39)</f>
        <v xml:space="preserve"> </v>
      </c>
      <c r="L7" s="9" t="s">
        <v>203</v>
      </c>
      <c r="M7" s="10" t="s">
        <v>214</v>
      </c>
    </row>
    <row r="8" spans="1:13" x14ac:dyDescent="0.25">
      <c r="A8" s="125" t="s">
        <v>126</v>
      </c>
      <c r="B8" s="86"/>
      <c r="C8" s="111" t="str">
        <f>Calcul!B41</f>
        <v>Ledig</v>
      </c>
      <c r="L8" s="9" t="s">
        <v>201</v>
      </c>
      <c r="M8" s="10" t="s">
        <v>215</v>
      </c>
    </row>
    <row r="9" spans="1:13" x14ac:dyDescent="0.25">
      <c r="C9" s="90"/>
      <c r="L9" s="9" t="s">
        <v>206</v>
      </c>
      <c r="M9" s="10" t="s">
        <v>216</v>
      </c>
    </row>
    <row r="10" spans="1:13" x14ac:dyDescent="0.25">
      <c r="L10" s="13" t="s">
        <v>205</v>
      </c>
      <c r="M10" s="14" t="s">
        <v>217</v>
      </c>
    </row>
    <row r="11" spans="1:13" x14ac:dyDescent="0.25">
      <c r="A11" s="126"/>
      <c r="E11" s="137"/>
      <c r="F11" s="137"/>
    </row>
    <row r="12" spans="1:13" x14ac:dyDescent="0.25">
      <c r="A12" s="126" t="s">
        <v>155</v>
      </c>
      <c r="E12" s="22"/>
      <c r="G12" s="69"/>
    </row>
    <row r="13" spans="1:13" x14ac:dyDescent="0.25">
      <c r="E13" s="22"/>
      <c r="G13" s="69"/>
    </row>
    <row r="14" spans="1:13" hidden="1" x14ac:dyDescent="0.25">
      <c r="A14" s="125" t="s">
        <v>17</v>
      </c>
      <c r="B14" s="86"/>
      <c r="C14" s="132" t="e">
        <f>VLOOKUP(C6,#REF!,10,FALSE)</f>
        <v>#REF!</v>
      </c>
      <c r="D14" s="60"/>
      <c r="E14" s="60"/>
      <c r="L14" s="6" t="s">
        <v>19</v>
      </c>
      <c r="M14" s="7" t="s">
        <v>218</v>
      </c>
    </row>
    <row r="15" spans="1:13" hidden="1" x14ac:dyDescent="0.25">
      <c r="A15" s="125" t="s">
        <v>175</v>
      </c>
      <c r="B15" s="86"/>
      <c r="C15" s="132" t="e">
        <f>VLOOKUP(C6,#REF!,12,FALSE)</f>
        <v>#REF!</v>
      </c>
      <c r="D15" s="60"/>
      <c r="E15" s="60"/>
      <c r="L15" s="9" t="s">
        <v>21</v>
      </c>
      <c r="M15" s="10" t="s">
        <v>210</v>
      </c>
    </row>
    <row r="16" spans="1:13" x14ac:dyDescent="0.25">
      <c r="A16" s="125" t="s">
        <v>1</v>
      </c>
      <c r="B16" s="86"/>
      <c r="C16" s="132" t="s">
        <v>232</v>
      </c>
      <c r="D16" s="60"/>
      <c r="E16" s="60"/>
      <c r="F16" s="60"/>
      <c r="G16" s="60"/>
      <c r="L16" s="9" t="s">
        <v>222</v>
      </c>
      <c r="M16" s="10" t="s">
        <v>223</v>
      </c>
    </row>
    <row r="17" spans="1:13" x14ac:dyDescent="0.25">
      <c r="A17" s="125" t="s">
        <v>5</v>
      </c>
      <c r="B17" s="86"/>
      <c r="C17" s="132" t="str">
        <f>Calcul!A11</f>
        <v xml:space="preserve">Mittelschulausbildung (Kollegium, FMS, HMS, ...) </v>
      </c>
      <c r="D17" s="60"/>
      <c r="E17" s="60"/>
      <c r="F17" s="60"/>
      <c r="G17" s="60"/>
      <c r="L17" s="9" t="s">
        <v>7</v>
      </c>
      <c r="M17" s="10" t="s">
        <v>219</v>
      </c>
    </row>
    <row r="18" spans="1:13" x14ac:dyDescent="0.25">
      <c r="A18" s="125" t="s">
        <v>186</v>
      </c>
      <c r="B18" s="125"/>
      <c r="C18" s="128">
        <f>Calcul!B164</f>
        <v>2</v>
      </c>
      <c r="L18" s="9" t="s">
        <v>185</v>
      </c>
      <c r="M18" s="10" t="s">
        <v>220</v>
      </c>
    </row>
    <row r="19" spans="1:13" x14ac:dyDescent="0.25">
      <c r="B19" s="86"/>
      <c r="C19" s="111"/>
      <c r="L19" s="13" t="s">
        <v>16</v>
      </c>
      <c r="M19" s="14" t="s">
        <v>221</v>
      </c>
    </row>
    <row r="20" spans="1:13" x14ac:dyDescent="0.25">
      <c r="A20" s="135" t="s">
        <v>182</v>
      </c>
      <c r="E20" s="150">
        <f>Calcul!B26</f>
        <v>6000</v>
      </c>
      <c r="G20" s="69"/>
      <c r="H20" s="321" t="s">
        <v>228</v>
      </c>
    </row>
    <row r="21" spans="1:13" hidden="1" x14ac:dyDescent="0.25">
      <c r="C21" s="149" t="s">
        <v>244</v>
      </c>
      <c r="D21" s="29">
        <f>Calcul!B21</f>
        <v>0</v>
      </c>
      <c r="E21" s="22"/>
      <c r="G21" s="69"/>
      <c r="H21" s="321"/>
    </row>
    <row r="22" spans="1:13" hidden="1" x14ac:dyDescent="0.25">
      <c r="C22" s="149" t="s">
        <v>245</v>
      </c>
      <c r="D22" s="29" t="e">
        <f>Calcul!#REF!</f>
        <v>#REF!</v>
      </c>
      <c r="E22" s="22"/>
      <c r="G22" s="69"/>
      <c r="H22" s="321"/>
    </row>
    <row r="23" spans="1:13" hidden="1" x14ac:dyDescent="0.25">
      <c r="C23" s="149" t="s">
        <v>246</v>
      </c>
      <c r="D23" s="29" t="e">
        <f>Calcul!#REF!</f>
        <v>#REF!</v>
      </c>
      <c r="E23" s="22"/>
      <c r="G23" s="69"/>
      <c r="H23" s="321"/>
    </row>
    <row r="24" spans="1:13" hidden="1" x14ac:dyDescent="0.25">
      <c r="C24" s="149" t="s">
        <v>247</v>
      </c>
      <c r="D24" s="29" t="e">
        <f>Calcul!#REF!</f>
        <v>#REF!</v>
      </c>
      <c r="E24" s="22"/>
      <c r="G24" s="69"/>
      <c r="H24" s="321"/>
    </row>
    <row r="25" spans="1:13" x14ac:dyDescent="0.25">
      <c r="E25" s="22"/>
      <c r="G25" s="69"/>
      <c r="H25" s="321"/>
    </row>
    <row r="26" spans="1:13" x14ac:dyDescent="0.25">
      <c r="A26" s="125" t="s">
        <v>231</v>
      </c>
      <c r="E26" s="22">
        <f>IF(Calcul!H41=2,54000,36000)</f>
        <v>36000</v>
      </c>
      <c r="G26" s="69"/>
      <c r="H26" s="321"/>
    </row>
    <row r="27" spans="1:13" x14ac:dyDescent="0.25">
      <c r="A27" s="125" t="s">
        <v>179</v>
      </c>
      <c r="D27" s="151">
        <f>Calcul!C43</f>
        <v>0</v>
      </c>
      <c r="G27" s="69"/>
      <c r="H27" s="321"/>
    </row>
    <row r="28" spans="1:13" x14ac:dyDescent="0.25">
      <c r="A28" s="125" t="s">
        <v>230</v>
      </c>
      <c r="E28" s="22">
        <f>D27*6000</f>
        <v>0</v>
      </c>
      <c r="G28" s="69"/>
      <c r="H28" s="321"/>
    </row>
    <row r="29" spans="1:13" ht="15.75" thickBot="1" x14ac:dyDescent="0.3">
      <c r="A29" s="135" t="s">
        <v>234</v>
      </c>
      <c r="E29" s="101">
        <f>E26+E28</f>
        <v>36000</v>
      </c>
      <c r="G29" s="69"/>
      <c r="H29" s="321"/>
    </row>
    <row r="30" spans="1:13" ht="15.75" thickTop="1" x14ac:dyDescent="0.25">
      <c r="E30" s="22"/>
      <c r="G30" s="69"/>
      <c r="H30" s="321"/>
    </row>
    <row r="31" spans="1:13" x14ac:dyDescent="0.25">
      <c r="A31" s="75" t="s">
        <v>235</v>
      </c>
      <c r="E31" s="22"/>
      <c r="G31" s="69"/>
      <c r="H31" s="321"/>
    </row>
    <row r="32" spans="1:13" x14ac:dyDescent="0.25">
      <c r="A32" t="s">
        <v>33</v>
      </c>
      <c r="E32" s="35">
        <f>Calcul!C54</f>
        <v>0</v>
      </c>
      <c r="G32" s="69"/>
      <c r="H32" s="321"/>
    </row>
    <row r="33" spans="1:8" x14ac:dyDescent="0.25">
      <c r="A33" t="s">
        <v>35</v>
      </c>
      <c r="E33" s="35">
        <f>Calcul!C57</f>
        <v>0</v>
      </c>
      <c r="G33" s="69"/>
      <c r="H33" s="321"/>
    </row>
    <row r="34" spans="1:8" ht="15.75" thickBot="1" x14ac:dyDescent="0.3">
      <c r="A34" s="3" t="s">
        <v>236</v>
      </c>
      <c r="B34" s="3"/>
      <c r="C34" s="3"/>
      <c r="D34" s="3"/>
      <c r="E34" s="138">
        <f>E32+E33</f>
        <v>0</v>
      </c>
      <c r="G34" s="69"/>
      <c r="H34" s="321"/>
    </row>
    <row r="35" spans="1:8" ht="15.75" thickTop="1" x14ac:dyDescent="0.25">
      <c r="E35" s="22"/>
      <c r="G35" s="69"/>
      <c r="H35" s="321"/>
    </row>
    <row r="36" spans="1:8" x14ac:dyDescent="0.25">
      <c r="E36" s="22"/>
      <c r="G36" s="69"/>
      <c r="H36" s="321"/>
    </row>
    <row r="37" spans="1:8" x14ac:dyDescent="0.25">
      <c r="A37" s="125" t="s">
        <v>234</v>
      </c>
      <c r="E37" s="22">
        <f>E29</f>
        <v>36000</v>
      </c>
      <c r="G37" s="69"/>
      <c r="H37" s="321"/>
    </row>
    <row r="38" spans="1:8" x14ac:dyDescent="0.25">
      <c r="A38" s="125" t="s">
        <v>233</v>
      </c>
      <c r="D38" s="56"/>
      <c r="E38" s="22">
        <f>Calcul!C58</f>
        <v>0</v>
      </c>
      <c r="G38" s="69"/>
      <c r="H38" s="321"/>
    </row>
    <row r="39" spans="1:8" ht="17.25" customHeight="1" thickBot="1" x14ac:dyDescent="0.3">
      <c r="A39" s="135" t="s">
        <v>104</v>
      </c>
      <c r="E39" s="101">
        <f>E29-E38</f>
        <v>36000</v>
      </c>
      <c r="G39" s="69"/>
      <c r="H39" s="321"/>
    </row>
    <row r="40" spans="1:8" ht="17.25" customHeight="1" thickTop="1" x14ac:dyDescent="0.25">
      <c r="E40" s="99"/>
      <c r="G40" s="69"/>
      <c r="H40" s="321"/>
    </row>
    <row r="41" spans="1:8" x14ac:dyDescent="0.25">
      <c r="D41" s="56"/>
      <c r="E41" s="22"/>
      <c r="G41" s="69"/>
      <c r="H41" s="321"/>
    </row>
    <row r="42" spans="1:8" x14ac:dyDescent="0.25">
      <c r="A42" s="125" t="s">
        <v>183</v>
      </c>
      <c r="E42" s="22">
        <f>Calcul!B26</f>
        <v>6000</v>
      </c>
      <c r="G42" s="69"/>
      <c r="H42" s="321"/>
    </row>
    <row r="43" spans="1:8" x14ac:dyDescent="0.25">
      <c r="A43" s="125" t="s">
        <v>174</v>
      </c>
      <c r="E43" s="115">
        <f>IF(E39&gt;0,E42,0)</f>
        <v>6000</v>
      </c>
      <c r="G43" s="69"/>
      <c r="H43" s="321"/>
    </row>
    <row r="44" spans="1:8" x14ac:dyDescent="0.25">
      <c r="E44" s="70"/>
      <c r="G44" s="69"/>
      <c r="H44" s="321"/>
    </row>
    <row r="45" spans="1:8" x14ac:dyDescent="0.25">
      <c r="B45" s="125" t="str">
        <f>IF(C18=1,"(1 Semester)","")</f>
        <v/>
      </c>
      <c r="G45" s="69"/>
      <c r="H45" s="321"/>
    </row>
    <row r="46" spans="1:8" x14ac:dyDescent="0.25">
      <c r="D46" s="89"/>
      <c r="E46" s="116" t="s">
        <v>177</v>
      </c>
      <c r="F46" s="116"/>
      <c r="G46" s="89"/>
      <c r="H46" s="321"/>
    </row>
    <row r="47" spans="1:8" x14ac:dyDescent="0.25">
      <c r="A47" s="129" t="s">
        <v>107</v>
      </c>
      <c r="B47" s="73">
        <f>Calcul!B167</f>
        <v>0</v>
      </c>
      <c r="C47" s="103">
        <f>E43</f>
        <v>6000</v>
      </c>
      <c r="D47" s="104"/>
      <c r="E47" s="117">
        <f>E43</f>
        <v>6000</v>
      </c>
      <c r="F47" s="118" t="s">
        <v>118</v>
      </c>
      <c r="G47" s="69"/>
      <c r="H47" s="321"/>
    </row>
    <row r="48" spans="1:8" x14ac:dyDescent="0.25">
      <c r="G48" s="69"/>
    </row>
    <row r="49" spans="1:8" x14ac:dyDescent="0.25">
      <c r="G49" s="69"/>
    </row>
    <row r="50" spans="1:8" x14ac:dyDescent="0.25">
      <c r="G50" s="69"/>
    </row>
    <row r="51" spans="1:8" x14ac:dyDescent="0.25">
      <c r="A51" s="322" t="s">
        <v>243</v>
      </c>
      <c r="B51" s="322"/>
      <c r="C51" s="322"/>
      <c r="D51" s="322"/>
      <c r="E51" s="322"/>
      <c r="F51" s="322"/>
      <c r="G51" s="322"/>
      <c r="H51" s="322"/>
    </row>
    <row r="52" spans="1:8" x14ac:dyDescent="0.25">
      <c r="A52" s="322"/>
      <c r="B52" s="322"/>
      <c r="C52" s="322"/>
      <c r="D52" s="322"/>
      <c r="E52" s="322"/>
      <c r="F52" s="322"/>
      <c r="G52" s="322"/>
      <c r="H52" s="322"/>
    </row>
    <row r="53" spans="1:8" x14ac:dyDescent="0.25">
      <c r="A53" s="322"/>
      <c r="B53" s="322"/>
      <c r="C53" s="322"/>
      <c r="D53" s="322"/>
      <c r="E53" s="322"/>
      <c r="F53" s="322"/>
      <c r="G53" s="322"/>
      <c r="H53" s="322"/>
    </row>
    <row r="54" spans="1:8" x14ac:dyDescent="0.25">
      <c r="A54" s="322"/>
      <c r="B54" s="322"/>
      <c r="C54" s="322"/>
      <c r="D54" s="322"/>
      <c r="E54" s="322"/>
      <c r="F54" s="322"/>
      <c r="G54" s="322"/>
      <c r="H54" s="322"/>
    </row>
    <row r="55" spans="1:8" x14ac:dyDescent="0.25">
      <c r="A55" s="136"/>
      <c r="B55" s="136"/>
      <c r="C55" s="136"/>
      <c r="D55" s="136"/>
      <c r="E55" s="136"/>
      <c r="F55" s="136"/>
      <c r="G55" s="136"/>
      <c r="H55" s="136"/>
    </row>
    <row r="56" spans="1:8" x14ac:dyDescent="0.25">
      <c r="A56" s="136"/>
      <c r="B56" s="136"/>
      <c r="C56" s="136"/>
      <c r="D56" s="136" t="s">
        <v>229</v>
      </c>
      <c r="E56" s="136"/>
      <c r="F56" s="136"/>
      <c r="G56" s="136"/>
      <c r="H56" s="136"/>
    </row>
    <row r="57" spans="1:8" x14ac:dyDescent="0.25">
      <c r="G57" s="69"/>
    </row>
    <row r="58" spans="1:8" x14ac:dyDescent="0.25">
      <c r="E58" s="8"/>
      <c r="F58" s="8"/>
      <c r="G58" s="69"/>
    </row>
    <row r="59" spans="1:8" x14ac:dyDescent="0.25">
      <c r="E59" s="8"/>
      <c r="F59" s="8"/>
      <c r="G59" s="69"/>
    </row>
    <row r="60" spans="1:8" x14ac:dyDescent="0.25">
      <c r="G60" s="69"/>
    </row>
    <row r="61" spans="1:8" hidden="1" x14ac:dyDescent="0.25">
      <c r="C61" s="75" t="s">
        <v>158</v>
      </c>
      <c r="D61" s="75"/>
      <c r="E61" s="75" t="s">
        <v>159</v>
      </c>
      <c r="G61" s="69"/>
    </row>
    <row r="62" spans="1:8" hidden="1" x14ac:dyDescent="0.25">
      <c r="A62" s="125" t="s">
        <v>160</v>
      </c>
      <c r="G62" s="69"/>
    </row>
    <row r="63" spans="1:8" hidden="1" x14ac:dyDescent="0.25">
      <c r="C63" t="s">
        <v>161</v>
      </c>
      <c r="E63">
        <v>0</v>
      </c>
      <c r="G63" s="69"/>
      <c r="H63" s="85"/>
    </row>
    <row r="64" spans="1:8" hidden="1" x14ac:dyDescent="0.25">
      <c r="G64" s="69"/>
    </row>
    <row r="65" spans="1:8" hidden="1" x14ac:dyDescent="0.25">
      <c r="A65" s="125" t="s">
        <v>162</v>
      </c>
      <c r="G65" s="69"/>
    </row>
    <row r="66" spans="1:8" hidden="1" x14ac:dyDescent="0.25">
      <c r="B66" s="56" t="s">
        <v>163</v>
      </c>
      <c r="C66" t="s">
        <v>128</v>
      </c>
      <c r="E66" s="3" t="s">
        <v>124</v>
      </c>
      <c r="G66" s="69"/>
      <c r="H66" s="76" t="s">
        <v>139</v>
      </c>
    </row>
    <row r="67" spans="1:8" hidden="1" x14ac:dyDescent="0.25">
      <c r="B67" t="s">
        <v>164</v>
      </c>
      <c r="C67" t="s">
        <v>128</v>
      </c>
      <c r="E67" s="3" t="s">
        <v>124</v>
      </c>
      <c r="G67" s="69"/>
      <c r="H67" s="76"/>
    </row>
    <row r="68" spans="1:8" hidden="1" x14ac:dyDescent="0.25">
      <c r="E68" s="3"/>
      <c r="G68" s="69"/>
    </row>
    <row r="69" spans="1:8" hidden="1" x14ac:dyDescent="0.25">
      <c r="A69" s="125" t="s">
        <v>165</v>
      </c>
    </row>
    <row r="70" spans="1:8" hidden="1" x14ac:dyDescent="0.25">
      <c r="B70" s="56" t="s">
        <v>106</v>
      </c>
      <c r="C70" t="s">
        <v>128</v>
      </c>
      <c r="E70" s="3" t="s">
        <v>124</v>
      </c>
    </row>
    <row r="71" spans="1:8" hidden="1" x14ac:dyDescent="0.25">
      <c r="B71" t="s">
        <v>166</v>
      </c>
      <c r="C71" t="s">
        <v>128</v>
      </c>
      <c r="E71" s="3" t="s">
        <v>124</v>
      </c>
    </row>
    <row r="72" spans="1:8" hidden="1" x14ac:dyDescent="0.25"/>
    <row r="73" spans="1:8" hidden="1" x14ac:dyDescent="0.25">
      <c r="A73" s="125" t="s">
        <v>167</v>
      </c>
    </row>
    <row r="74" spans="1:8" hidden="1" x14ac:dyDescent="0.25">
      <c r="B74" s="56" t="s">
        <v>168</v>
      </c>
      <c r="C74" t="s">
        <v>128</v>
      </c>
      <c r="E74" s="3" t="s">
        <v>124</v>
      </c>
      <c r="H74" s="76" t="s">
        <v>169</v>
      </c>
    </row>
    <row r="75" spans="1:8" hidden="1" x14ac:dyDescent="0.25"/>
    <row r="76" spans="1:8" hidden="1" x14ac:dyDescent="0.25">
      <c r="A76" s="125" t="s">
        <v>170</v>
      </c>
    </row>
    <row r="77" spans="1:8" hidden="1" x14ac:dyDescent="0.25">
      <c r="B77" s="56" t="s">
        <v>171</v>
      </c>
      <c r="C77" t="s">
        <v>128</v>
      </c>
      <c r="E77" s="3" t="s">
        <v>124</v>
      </c>
      <c r="H77" s="76" t="s">
        <v>169</v>
      </c>
    </row>
    <row r="78" spans="1:8" hidden="1" x14ac:dyDescent="0.25">
      <c r="B78" t="s">
        <v>172</v>
      </c>
      <c r="C78" t="s">
        <v>128</v>
      </c>
      <c r="E78" s="3" t="s">
        <v>124</v>
      </c>
      <c r="H78" s="76"/>
    </row>
    <row r="79" spans="1:8" hidden="1" x14ac:dyDescent="0.25"/>
    <row r="80" spans="1:8" hidden="1" x14ac:dyDescent="0.25"/>
    <row r="81" hidden="1" x14ac:dyDescent="0.25"/>
    <row r="82" hidden="1" x14ac:dyDescent="0.25"/>
  </sheetData>
  <sheetProtection password="ACB8" sheet="1" objects="1" scenarios="1" selectLockedCells="1" selectUnlockedCells="1"/>
  <mergeCells count="2">
    <mergeCell ref="H20:H47"/>
    <mergeCell ref="A51:H54"/>
  </mergeCells>
  <printOptions horizontalCentered="1"/>
  <pageMargins left="0.70866141732283472" right="0.70866141732283472" top="0.74803149606299213" bottom="0.74803149606299213" header="0.31496062992125984" footer="0.31496062992125984"/>
  <pageSetup paperSize="9" scale="73" fitToHeight="2" orientation="portrait" r:id="rId1"/>
  <headerFooter>
    <oddHeader xml:space="preserve">&amp;L&amp;"-,Gras"&amp;G&amp;C&amp;"-,Gras"Calculateur des bourses et prêts d'études
du canton du Valais&amp;R
</oddHeader>
    <oddFooter>&amp;RPage &amp;P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Calcul</vt:lpstr>
      <vt:lpstr>Détail des calculs - STD</vt:lpstr>
      <vt:lpstr>Détail des calculs - PERF</vt:lpstr>
      <vt:lpstr>'Détail des calculs - PERF'!Impression_des_titres</vt:lpstr>
      <vt:lpstr>'Détail des calculs - STD'!Impression_des_titres</vt:lpstr>
      <vt:lpstr>Calcul!Zone_d_impression</vt:lpstr>
      <vt:lpstr>'Détail des calculs - PERF'!Zone_d_impression</vt:lpstr>
      <vt:lpstr>'Détail des calculs - STD'!Zone_d_impression</vt:lpstr>
    </vt:vector>
  </TitlesOfParts>
  <Company>Etat du Valais / Staat Wallis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GERPRA</cp:lastModifiedBy>
  <cp:lastPrinted>2017-08-10T13:11:19Z</cp:lastPrinted>
  <dcterms:created xsi:type="dcterms:W3CDTF">2014-06-16T06:42:59Z</dcterms:created>
  <dcterms:modified xsi:type="dcterms:W3CDTF">2017-08-21T08:21:28Z</dcterms:modified>
</cp:coreProperties>
</file>