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6D2"/>
  <workbookPr/>
  <bookViews>
    <workbookView xWindow="9495" yWindow="65521" windowWidth="9540" windowHeight="12675" tabRatio="936" activeTab="0"/>
  </bookViews>
  <sheets>
    <sheet name="Analyse eau réseau" sheetId="1" r:id="rId1"/>
    <sheet name="Solution nutritive fraisier" sheetId="2" r:id="rId2"/>
    <sheet name="Solution nut fraisier +OE" sheetId="3" r:id="rId3"/>
    <sheet name="Correction sol recyclée" sheetId="4" r:id="rId4"/>
    <sheet name="Sol nut fraisier recyclée" sheetId="5" r:id="rId5"/>
    <sheet name="Equilibres recy tomate" sheetId="6" r:id="rId6"/>
    <sheet name="Saturation des pains" sheetId="7" r:id="rId7"/>
    <sheet name="Tom 2sem" sheetId="8" r:id="rId8"/>
    <sheet name="Tom 4-8sem" sheetId="9" r:id="rId9"/>
    <sheet name="Apport goutteur 27mai" sheetId="10" r:id="rId10"/>
    <sheet name="Fumure tomate recyclée1juin" sheetId="11" r:id="rId11"/>
    <sheet name="Concombre normal" sheetId="12" r:id="rId12"/>
  </sheets>
  <definedNames>
    <definedName name="_xlnm.Print_Area" localSheetId="9">'Apport goutteur 27mai'!$A$1:$M$40</definedName>
    <definedName name="_xlnm.Print_Area" localSheetId="11">'Concombre normal'!$B$1:$Q$52</definedName>
    <definedName name="_xlnm.Print_Area" localSheetId="10">'Fumure tomate recyclée1juin'!$A$1:$Q$52</definedName>
    <definedName name="_xlnm.Print_Area" localSheetId="6">'Saturation des pains'!$B$1:$Q$52</definedName>
    <definedName name="_xlnm.Print_Area" localSheetId="4">'Sol nut fraisier recyclée'!$B$1:$S$44</definedName>
    <definedName name="_xlnm.Print_Area" localSheetId="2">'Solution nut fraisier +OE'!$B$1:$Q$51</definedName>
    <definedName name="_xlnm.Print_Area" localSheetId="1">'Solution nutritive fraisier'!$B$1:$S$44</definedName>
    <definedName name="_xlnm.Print_Area" localSheetId="7">'Tom 2sem'!$B$1:$Q$52</definedName>
    <definedName name="_xlnm.Print_Area" localSheetId="8">'Tom 4-8sem'!$B$1:$Q$52</definedName>
  </definedNames>
  <calcPr fullCalcOnLoad="1"/>
</workbook>
</file>

<file path=xl/sharedStrings.xml><?xml version="1.0" encoding="utf-8"?>
<sst xmlns="http://schemas.openxmlformats.org/spreadsheetml/2006/main" count="1631" uniqueCount="171">
  <si>
    <t xml:space="preserve">sn base </t>
  </si>
  <si>
    <t>pH</t>
  </si>
  <si>
    <r>
      <t xml:space="preserve">EC </t>
    </r>
    <r>
      <rPr>
        <sz val="10"/>
        <rFont val="Symbol"/>
        <family val="1"/>
      </rPr>
      <t>m</t>
    </r>
    <r>
      <rPr>
        <sz val="10"/>
        <rFont val="Arial"/>
        <family val="2"/>
      </rPr>
      <t>S.cm</t>
    </r>
    <r>
      <rPr>
        <vertAlign val="superscript"/>
        <sz val="10"/>
        <rFont val="Arial"/>
        <family val="2"/>
      </rPr>
      <t>-1</t>
    </r>
  </si>
  <si>
    <t>mg/l</t>
  </si>
  <si>
    <t>mol/l</t>
  </si>
  <si>
    <t>méq/l</t>
  </si>
  <si>
    <r>
      <t>m</t>
    </r>
    <r>
      <rPr>
        <sz val="10"/>
        <color indexed="8"/>
        <rFont val="Arial"/>
        <family val="2"/>
      </rPr>
      <t>-mol/l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</si>
  <si>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</si>
  <si>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</si>
  <si>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</si>
  <si>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Mn</t>
  </si>
  <si>
    <r>
      <t>SO</t>
    </r>
    <r>
      <rPr>
        <vertAlign val="subscript"/>
        <sz val="10"/>
        <rFont val="Arial"/>
        <family val="2"/>
      </rPr>
      <t>4</t>
    </r>
  </si>
  <si>
    <t>Zn</t>
  </si>
  <si>
    <r>
      <t>NH</t>
    </r>
    <r>
      <rPr>
        <vertAlign val="subscript"/>
        <sz val="10"/>
        <rFont val="Arial"/>
        <family val="2"/>
      </rPr>
      <t>4</t>
    </r>
  </si>
  <si>
    <t>B</t>
  </si>
  <si>
    <t>K</t>
  </si>
  <si>
    <t>Cu</t>
  </si>
  <si>
    <t>Ca</t>
  </si>
  <si>
    <t>Mo</t>
  </si>
  <si>
    <t>Mg</t>
  </si>
  <si>
    <t>Réf. SC</t>
  </si>
  <si>
    <t>Réf. anal.</t>
  </si>
  <si>
    <t>Dates prél.</t>
  </si>
  <si>
    <t>diff. % sn</t>
  </si>
  <si>
    <t>EC</t>
  </si>
  <si>
    <t>Na</t>
  </si>
  <si>
    <t>Cl</t>
  </si>
  <si>
    <r>
      <t>m</t>
    </r>
    <r>
      <rPr>
        <sz val="10"/>
        <rFont val="Arial"/>
        <family val="2"/>
      </rPr>
      <t>-mol/l</t>
    </r>
  </si>
  <si>
    <t>Eléments</t>
  </si>
  <si>
    <t>Base méq/l</t>
  </si>
  <si>
    <t>Corr. %</t>
  </si>
  <si>
    <t>Total I méq/l</t>
  </si>
  <si>
    <t>E.R. méq/l</t>
  </si>
  <si>
    <t>K/Ca+Mg</t>
  </si>
  <si>
    <t>K/Ca</t>
  </si>
  <si>
    <r>
      <t xml:space="preserve">S </t>
    </r>
    <r>
      <rPr>
        <sz val="10"/>
        <rFont val="Arial"/>
        <family val="2"/>
      </rPr>
      <t>anions</t>
    </r>
  </si>
  <si>
    <r>
      <t>S</t>
    </r>
    <r>
      <rPr>
        <sz val="10"/>
        <rFont val="Arial"/>
        <family val="2"/>
      </rPr>
      <t xml:space="preserve"> cations</t>
    </r>
  </si>
  <si>
    <t>CIT</t>
  </si>
  <si>
    <t>A - C</t>
  </si>
  <si>
    <r>
      <t>NH</t>
    </r>
    <r>
      <rPr>
        <b/>
        <vertAlign val="subscript"/>
        <sz val="10"/>
        <color indexed="10"/>
        <rFont val="Arial"/>
        <family val="2"/>
      </rPr>
      <t>4</t>
    </r>
  </si>
  <si>
    <r>
      <t>NH</t>
    </r>
    <r>
      <rPr>
        <b/>
        <vertAlign val="subscript"/>
        <sz val="10"/>
        <color indexed="56"/>
        <rFont val="Arial"/>
        <family val="2"/>
      </rPr>
      <t>4</t>
    </r>
  </si>
  <si>
    <r>
      <t>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</si>
  <si>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Solution nutritive tomate; production élevée pendant de courtes périodes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-K =&gt; +1 à 2 mmol/l</t>
    </r>
  </si>
  <si>
    <t>Solution nutritive tomate; production normale</t>
  </si>
  <si>
    <t>Solution nutritive des nattes: tomate</t>
  </si>
  <si>
    <t>Solution nutritive tomate; 4 à 8 premières semaines de culture</t>
  </si>
  <si>
    <t>Solution nutritive tomate; 2 premières semaines de culture</t>
  </si>
  <si>
    <t>Solution nutritive tomate; saturation des nattes des nattes</t>
  </si>
  <si>
    <r>
      <t xml:space="preserve">S </t>
    </r>
    <r>
      <rPr>
        <sz val="10"/>
        <color indexed="14"/>
        <rFont val="Arial"/>
        <family val="2"/>
      </rPr>
      <t>anions</t>
    </r>
  </si>
  <si>
    <r>
      <t>S</t>
    </r>
    <r>
      <rPr>
        <sz val="10"/>
        <color indexed="14"/>
        <rFont val="Arial"/>
        <family val="2"/>
      </rPr>
      <t xml:space="preserve"> cations</t>
    </r>
  </si>
  <si>
    <r>
      <t xml:space="preserve">EC </t>
    </r>
    <r>
      <rPr>
        <sz val="10"/>
        <color indexed="14"/>
        <rFont val="Symbol"/>
        <family val="1"/>
      </rPr>
      <t>m</t>
    </r>
    <r>
      <rPr>
        <sz val="10"/>
        <color indexed="14"/>
        <rFont val="Arial"/>
        <family val="2"/>
      </rPr>
      <t>S.cm</t>
    </r>
    <r>
      <rPr>
        <vertAlign val="superscript"/>
        <sz val="10"/>
        <color indexed="14"/>
        <rFont val="Arial"/>
        <family val="2"/>
      </rPr>
      <t>-1</t>
    </r>
  </si>
  <si>
    <r>
      <t>m</t>
    </r>
    <r>
      <rPr>
        <sz val="10"/>
        <color indexed="14"/>
        <rFont val="Arial"/>
        <family val="2"/>
      </rPr>
      <t>-mol/l</t>
    </r>
  </si>
  <si>
    <r>
      <t>NO</t>
    </r>
    <r>
      <rPr>
        <vertAlign val="subscript"/>
        <sz val="10"/>
        <color indexed="14"/>
        <rFont val="Arial"/>
        <family val="2"/>
      </rPr>
      <t>3</t>
    </r>
    <r>
      <rPr>
        <sz val="10"/>
        <color indexed="14"/>
        <rFont val="Arial"/>
        <family val="2"/>
      </rPr>
      <t xml:space="preserve"> </t>
    </r>
  </si>
  <si>
    <r>
      <t>H</t>
    </r>
    <r>
      <rPr>
        <vertAlign val="subscript"/>
        <sz val="10"/>
        <color indexed="14"/>
        <rFont val="Arial"/>
        <family val="2"/>
      </rPr>
      <t>2</t>
    </r>
    <r>
      <rPr>
        <sz val="10"/>
        <color indexed="14"/>
        <rFont val="Arial"/>
        <family val="2"/>
      </rPr>
      <t>PO</t>
    </r>
    <r>
      <rPr>
        <vertAlign val="subscript"/>
        <sz val="10"/>
        <color indexed="14"/>
        <rFont val="Arial"/>
        <family val="2"/>
      </rPr>
      <t>4</t>
    </r>
  </si>
  <si>
    <r>
      <t>SO</t>
    </r>
    <r>
      <rPr>
        <vertAlign val="subscript"/>
        <sz val="10"/>
        <color indexed="14"/>
        <rFont val="Arial"/>
        <family val="2"/>
      </rPr>
      <t>4</t>
    </r>
  </si>
  <si>
    <r>
      <t>NH</t>
    </r>
    <r>
      <rPr>
        <vertAlign val="subscript"/>
        <sz val="10"/>
        <color indexed="14"/>
        <rFont val="Arial"/>
        <family val="2"/>
      </rPr>
      <t>4</t>
    </r>
  </si>
  <si>
    <t>Total II méq/l</t>
  </si>
  <si>
    <r>
      <t>D</t>
    </r>
    <r>
      <rPr>
        <sz val="10"/>
        <color indexed="10"/>
        <rFont val="Arial"/>
        <family val="2"/>
      </rPr>
      <t xml:space="preserve"> % Analyse</t>
    </r>
  </si>
  <si>
    <r>
      <t>NH</t>
    </r>
    <r>
      <rPr>
        <b/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</si>
  <si>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</si>
  <si>
    <r>
      <t>SO</t>
    </r>
    <r>
      <rPr>
        <b/>
        <vertAlign val="subscript"/>
        <sz val="10"/>
        <rFont val="Arial"/>
        <family val="2"/>
      </rPr>
      <t>4</t>
    </r>
  </si>
  <si>
    <r>
      <t>HCO</t>
    </r>
    <r>
      <rPr>
        <b/>
        <vertAlign val="subscript"/>
        <sz val="10"/>
        <rFont val="Arial"/>
        <family val="2"/>
      </rPr>
      <t>3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</si>
  <si>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</si>
  <si>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sz val="10"/>
        <color indexed="8"/>
        <rFont val="Arial"/>
        <family val="2"/>
      </rPr>
      <t>-mol/l</t>
    </r>
  </si>
  <si>
    <r>
      <t xml:space="preserve">S </t>
    </r>
    <r>
      <rPr>
        <b/>
        <sz val="10"/>
        <rFont val="Arial"/>
        <family val="2"/>
      </rPr>
      <t>anions</t>
    </r>
  </si>
  <si>
    <r>
      <t>S</t>
    </r>
    <r>
      <rPr>
        <b/>
        <sz val="10"/>
        <rFont val="Arial"/>
        <family val="2"/>
      </rPr>
      <t xml:space="preserve"> cations</t>
    </r>
  </si>
  <si>
    <r>
      <t>EC mS.cm</t>
    </r>
    <r>
      <rPr>
        <b/>
        <vertAlign val="superscript"/>
        <sz val="10"/>
        <rFont val="Arial"/>
        <family val="2"/>
      </rPr>
      <t>-1</t>
    </r>
  </si>
  <si>
    <t>Correction selon la solution recyclée</t>
  </si>
  <si>
    <t>Conversion de mg/l à m-mol/l</t>
  </si>
  <si>
    <t>Kristalon orange</t>
  </si>
  <si>
    <t>MgO</t>
  </si>
  <si>
    <t>Nitrate de calcium</t>
  </si>
  <si>
    <t>CaO</t>
  </si>
  <si>
    <t>en %</t>
  </si>
  <si>
    <t>en mg/l</t>
  </si>
  <si>
    <t>A apporter</t>
  </si>
  <si>
    <t>x mg/l</t>
  </si>
  <si>
    <t>A</t>
  </si>
  <si>
    <r>
      <t>N-NO</t>
    </r>
    <r>
      <rPr>
        <b/>
        <vertAlign val="subscript"/>
        <sz val="10"/>
        <rFont val="Arial"/>
        <family val="2"/>
      </rPr>
      <t>3</t>
    </r>
  </si>
  <si>
    <r>
      <t>N-NH</t>
    </r>
    <r>
      <rPr>
        <b/>
        <vertAlign val="subscript"/>
        <sz val="10"/>
        <rFont val="Arial"/>
        <family val="2"/>
      </rPr>
      <t>4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</si>
  <si>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(P2O5)</t>
    </r>
  </si>
  <si>
    <t>K(K2O)</t>
  </si>
  <si>
    <t>Mg(O)</t>
  </si>
  <si>
    <t>Ca(O)</t>
  </si>
  <si>
    <t>x g/l</t>
  </si>
  <si>
    <t>en mg/kg</t>
  </si>
  <si>
    <t>N total</t>
  </si>
  <si>
    <t>ml/100 l</t>
  </si>
  <si>
    <t>Acide nitrique 60 %</t>
  </si>
  <si>
    <t>C</t>
  </si>
  <si>
    <r>
      <t>SO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(S)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</si>
  <si>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</si>
  <si>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</si>
  <si>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r>
      <t>SO</t>
    </r>
    <r>
      <rPr>
        <b/>
        <vertAlign val="subscript"/>
        <sz val="10"/>
        <rFont val="Arial"/>
        <family val="2"/>
      </rPr>
      <t>3</t>
    </r>
  </si>
  <si>
    <t>Solutions à préparer</t>
  </si>
  <si>
    <t>Bac A</t>
  </si>
  <si>
    <t>Engrais</t>
  </si>
  <si>
    <t>kg/100 l</t>
  </si>
  <si>
    <t>% d'injection</t>
  </si>
  <si>
    <t>Bac B</t>
  </si>
  <si>
    <t>Volume bac</t>
  </si>
  <si>
    <t>litres</t>
  </si>
  <si>
    <t>kg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</si>
  <si>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</si>
  <si>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</si>
  <si>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K/Ca + Mg</t>
  </si>
  <si>
    <t>Kristalon rouge</t>
  </si>
  <si>
    <t>D</t>
  </si>
  <si>
    <t>Fer</t>
  </si>
  <si>
    <t>E</t>
  </si>
  <si>
    <t>Total A+B+C+D+E</t>
  </si>
  <si>
    <t>Calculé</t>
  </si>
  <si>
    <t>Recherché</t>
  </si>
  <si>
    <t>Au goutteur</t>
  </si>
  <si>
    <t>Au drainage</t>
  </si>
  <si>
    <r>
      <t xml:space="preserve">Solution nutritive production de tomate en système recyclée - </t>
    </r>
    <r>
      <rPr>
        <b/>
        <sz val="8"/>
        <rFont val="Arial"/>
        <family val="2"/>
      </rPr>
      <t>équilibre selon Agroscope Changins-Wädenswil ACW</t>
    </r>
  </si>
  <si>
    <t>Sulfate de magnésie</t>
  </si>
  <si>
    <t>Hauert Oligo</t>
  </si>
  <si>
    <t>2.0 à 2.5</t>
  </si>
  <si>
    <t>5.3 à 5.7</t>
  </si>
  <si>
    <t>2.5 à 3.5</t>
  </si>
  <si>
    <t>(Analyse eau puit S19, 30.03.06)</t>
  </si>
  <si>
    <t>(Analyse eau puit 23.05.02)</t>
  </si>
  <si>
    <t xml:space="preserve">Equilibre de fumure </t>
  </si>
  <si>
    <t>Résultat de l'analyses de la solution recyclée</t>
  </si>
  <si>
    <t>Composition de l'Eau du Réseau</t>
  </si>
  <si>
    <t>mg de sel à apporter</t>
  </si>
  <si>
    <t>Composition de l'engrais</t>
  </si>
  <si>
    <t>concentration de l'engrais en g/l</t>
  </si>
  <si>
    <t>Différence entre l'apport et les besoins</t>
  </si>
  <si>
    <t>Total A+B+C+D</t>
  </si>
  <si>
    <t>Total de l'apport en mg de sel</t>
  </si>
  <si>
    <t>Différence entre les apports totaux et les besoins totaux</t>
  </si>
  <si>
    <t>Capacité du bac de solution nutritive</t>
  </si>
  <si>
    <t>Quantité d'engrais à diluer selon le volume à préparer</t>
  </si>
  <si>
    <t>La valeur d'EC ne tient pas compte de l'eau du réseau</t>
  </si>
  <si>
    <t>Equilibre réalisé entre les éléments</t>
  </si>
  <si>
    <t>1-Modifier l'équilibre de fumure et les valeurs de concentration de l'eau du réseau</t>
  </si>
  <si>
    <t>2-Saisir les engrais et leurs concentrations de sel</t>
  </si>
  <si>
    <t>3-Modifier les cases jaunes pour ajuster les apports aux besoins</t>
  </si>
  <si>
    <r>
      <t xml:space="preserve">Solution nutritive Floraison/Fructification - Fraise - </t>
    </r>
    <r>
      <rPr>
        <b/>
        <sz val="8"/>
        <rFont val="Arial"/>
        <family val="2"/>
      </rPr>
      <t xml:space="preserve">équilibre selon Agroscope Changins-Wädenswil ACW </t>
    </r>
  </si>
  <si>
    <t>Diff. %  Apport/drainage</t>
  </si>
  <si>
    <t>Sn Base</t>
  </si>
  <si>
    <t>3 à 3.5</t>
  </si>
  <si>
    <t>Solution nutritive production - CONCOMBRE - en système recyclée - équilibre selon Agroscope Changins-Wädenswil ACW</t>
  </si>
  <si>
    <t>Solution nutritive Fraise période de floraison - Serre5 - 2008</t>
  </si>
  <si>
    <t>(Analyse eau du réseau du 15.03.07)</t>
  </si>
  <si>
    <t>Sulfate de Mn</t>
  </si>
  <si>
    <t>0.8 à 1.6</t>
  </si>
  <si>
    <t>5.2 à 6.4</t>
  </si>
  <si>
    <t>max 2</t>
  </si>
  <si>
    <t>Solution nutritive fraise floraison - fructification</t>
  </si>
  <si>
    <t>S96</t>
  </si>
  <si>
    <t>ER</t>
  </si>
  <si>
    <t>0.8 à 1.8</t>
  </si>
  <si>
    <t>Solution nutritive fraise Serre5 ; Production normale recyclée</t>
  </si>
  <si>
    <t>S170</t>
  </si>
  <si>
    <t>Gt fraise</t>
  </si>
  <si>
    <t>(Analyse eau du réseau du 10.03.06)</t>
  </si>
  <si>
    <t>SATURATION DES PAINS</t>
  </si>
  <si>
    <t>fer EDTA 10%</t>
  </si>
  <si>
    <t>2 PREMIERES SEMAINES</t>
  </si>
  <si>
    <t>(Analyse eau du réseau du 17.03.08)</t>
  </si>
  <si>
    <t>4 à 8 PREMIERES SEMAINES</t>
  </si>
  <si>
    <t>F</t>
  </si>
  <si>
    <t>Total A+B+C+D+E+F</t>
  </si>
  <si>
    <t>1.8 à 2.6</t>
  </si>
  <si>
    <t>max 3.5</t>
  </si>
  <si>
    <t>Solution nutritive tomate Serre6 ; Production normale recyclée</t>
  </si>
  <si>
    <t>S92</t>
  </si>
  <si>
    <t>S93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</si>
</sst>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&quot;;\-#,##0\ &quot;Fr&quot;"/>
    <numFmt numFmtId="173" formatCode="#,##0\ &quot;Fr&quot;;[Red]\-#,##0\ &quot;Fr&quot;"/>
    <numFmt numFmtId="174" formatCode="#,##0.00\ &quot;Fr&quot;;\-#,##0.00\ &quot;Fr&quot;"/>
    <numFmt numFmtId="175" formatCode="#,##0.00\ &quot;Fr&quot;;[Red]\-#,##0.00\ &quot;Fr&quot;"/>
    <numFmt numFmtId="176" formatCode="_-* #,##0\ &quot;Fr&quot;_-;\-* #,##0\ &quot;Fr&quot;_-;_-* &quot;-&quot;\ &quot;Fr&quot;_-;_-@_-"/>
    <numFmt numFmtId="177" formatCode="_-* #,##0\ _F_r_-;\-* #,##0\ _F_r_-;_-* &quot;-&quot;\ _F_r_-;_-@_-"/>
    <numFmt numFmtId="178" formatCode="_-* #,##0.00\ &quot;Fr&quot;_-;\-* #,##0.00\ &quot;Fr&quot;_-;_-* &quot;-&quot;??\ &quot;Fr&quot;_-;_-@_-"/>
    <numFmt numFmtId="179" formatCode="_-* #,##0.00\ _F_r_-;\-* #,##0.00\ _F_r_-;_-* &quot;-&quot;??\ _F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0.000"/>
    <numFmt numFmtId="191" formatCode="0.0000"/>
    <numFmt numFmtId="192" formatCode="0.00000"/>
    <numFmt numFmtId="193" formatCode="0.0"/>
    <numFmt numFmtId="194" formatCode="0.0000000"/>
    <numFmt numFmtId="195" formatCode="0.000000"/>
    <numFmt numFmtId="196" formatCode="#,##0.000;[Red]\-#,##0.000"/>
    <numFmt numFmtId="197" formatCode="#,##0.0;[Red]\-#,##0.0"/>
    <numFmt numFmtId="198" formatCode="0.00000000"/>
    <numFmt numFmtId="199" formatCode="&quot;Vrai&quot;;&quot;Vrai&quot;;&quot;Faux&quot;"/>
    <numFmt numFmtId="200" formatCode="&quot;Actif&quot;;&quot;Actif&quot;;&quot;Inactif&quot;"/>
    <numFmt numFmtId="201" formatCode="0.000000000"/>
    <numFmt numFmtId="202" formatCode="#,##0\ &quot;SFr&quot;;\-#,##0\ &quot;SFr&quot;"/>
    <numFmt numFmtId="203" formatCode="#,##0\ &quot;SFr&quot;;[Red]\-#,##0\ &quot;SFr&quot;"/>
    <numFmt numFmtId="204" formatCode="#,##0.00\ &quot;SFr&quot;;\-#,##0.00\ &quot;SFr&quot;"/>
    <numFmt numFmtId="205" formatCode="#,##0.00\ &quot;SFr&quot;;[Red]\-#,##0.00\ &quot;SFr&quot;"/>
    <numFmt numFmtId="206" formatCode="_-* #,##0\ &quot;SFr&quot;_-;\-* #,##0\ &quot;SFr&quot;_-;_-* &quot;-&quot;\ &quot;SFr&quot;_-;_-@_-"/>
    <numFmt numFmtId="207" formatCode="_-* #,##0\ _S_F_r_-;\-* #,##0\ _S_F_r_-;_-* &quot;-&quot;\ _S_F_r_-;_-@_-"/>
    <numFmt numFmtId="208" formatCode="_-* #,##0.00\ &quot;SFr&quot;_-;\-* #,##0.00\ &quot;SFr&quot;_-;_-* &quot;-&quot;??\ &quot;SFr&quot;_-;_-@_-"/>
    <numFmt numFmtId="209" formatCode="_-* #,##0.00\ _S_F_r_-;\-* #,##0.00\ _S_F_r_-;_-* &quot;-&quot;??\ _S_F_r_-;_-@_-"/>
    <numFmt numFmtId="210" formatCode="0.0%"/>
    <numFmt numFmtId="211" formatCode="d/m"/>
    <numFmt numFmtId="212" formatCode="d\-mmm"/>
    <numFmt numFmtId="213" formatCode="0.0000000000"/>
    <numFmt numFmtId="214" formatCode=".00%"/>
    <numFmt numFmtId="215" formatCode="mmm/yyyy"/>
    <numFmt numFmtId="216" formatCode="0.000%"/>
    <numFmt numFmtId="217" formatCode="mmm\-yyyy"/>
    <numFmt numFmtId="218" formatCode="[$-100C]dddd\,\ d\.\ mmmm\ yyyy"/>
    <numFmt numFmtId="219" formatCode="dd/mm/yy;@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14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6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14"/>
      <name val="Arial"/>
      <family val="0"/>
    </font>
    <font>
      <sz val="10"/>
      <color indexed="14"/>
      <name val="MS Sans Serif"/>
      <family val="0"/>
    </font>
    <font>
      <sz val="10"/>
      <color indexed="14"/>
      <name val="Symbol"/>
      <family val="1"/>
    </font>
    <font>
      <vertAlign val="superscript"/>
      <sz val="10"/>
      <color indexed="14"/>
      <name val="Arial"/>
      <family val="2"/>
    </font>
    <font>
      <vertAlign val="subscript"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190" fontId="1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10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2" fontId="6" fillId="0" borderId="8" xfId="0" applyNumberFormat="1" applyFont="1" applyBorder="1" applyAlignment="1">
      <alignment horizontal="center"/>
    </xf>
    <xf numFmtId="0" fontId="10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10" fillId="5" borderId="1" xfId="0" applyFont="1" applyFill="1" applyBorder="1" applyAlignment="1" applyProtection="1">
      <alignment/>
      <protection locked="0"/>
    </xf>
    <xf numFmtId="0" fontId="4" fillId="5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6" borderId="1" xfId="0" applyFont="1" applyFill="1" applyBorder="1" applyAlignment="1" applyProtection="1">
      <alignment/>
      <protection locked="0"/>
    </xf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190" fontId="13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9" fillId="7" borderId="1" xfId="0" applyFont="1" applyFill="1" applyBorder="1" applyAlignment="1">
      <alignment/>
    </xf>
    <xf numFmtId="0" fontId="13" fillId="7" borderId="2" xfId="0" applyFont="1" applyFill="1" applyBorder="1" applyAlignment="1">
      <alignment/>
    </xf>
    <xf numFmtId="0" fontId="13" fillId="7" borderId="3" xfId="0" applyFont="1" applyFill="1" applyBorder="1" applyAlignment="1">
      <alignment/>
    </xf>
    <xf numFmtId="2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2" fontId="4" fillId="8" borderId="0" xfId="0" applyNumberFormat="1" applyFont="1" applyFill="1" applyBorder="1" applyAlignment="1">
      <alignment horizontal="center"/>
    </xf>
    <xf numFmtId="2" fontId="4" fillId="8" borderId="5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/>
    </xf>
    <xf numFmtId="190" fontId="6" fillId="2" borderId="0" xfId="0" applyNumberFormat="1" applyFont="1" applyFill="1" applyBorder="1" applyAlignment="1">
      <alignment horizontal="center"/>
    </xf>
    <xf numFmtId="190" fontId="15" fillId="2" borderId="0" xfId="0" applyNumberFormat="1" applyFont="1" applyFill="1" applyBorder="1" applyAlignment="1">
      <alignment horizontal="center"/>
    </xf>
    <xf numFmtId="190" fontId="6" fillId="2" borderId="7" xfId="0" applyNumberFormat="1" applyFont="1" applyFill="1" applyBorder="1" applyAlignment="1">
      <alignment horizontal="center"/>
    </xf>
    <xf numFmtId="190" fontId="6" fillId="0" borderId="5" xfId="0" applyNumberFormat="1" applyFont="1" applyBorder="1" applyAlignment="1">
      <alignment horizontal="center"/>
    </xf>
    <xf numFmtId="190" fontId="6" fillId="0" borderId="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8" borderId="18" xfId="0" applyNumberFormat="1" applyFont="1" applyFill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/>
    </xf>
    <xf numFmtId="9" fontId="13" fillId="0" borderId="7" xfId="21" applyFont="1" applyFill="1" applyBorder="1" applyAlignment="1">
      <alignment horizontal="center"/>
    </xf>
    <xf numFmtId="9" fontId="13" fillId="0" borderId="8" xfId="21" applyFont="1" applyFill="1" applyBorder="1" applyAlignment="1">
      <alignment horizontal="center"/>
    </xf>
    <xf numFmtId="0" fontId="4" fillId="9" borderId="0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8" borderId="7" xfId="0" applyFont="1" applyFill="1" applyBorder="1" applyAlignment="1">
      <alignment horizontal="left"/>
    </xf>
    <xf numFmtId="2" fontId="4" fillId="8" borderId="7" xfId="0" applyNumberFormat="1" applyFont="1" applyFill="1" applyBorder="1" applyAlignment="1">
      <alignment horizontal="center"/>
    </xf>
    <xf numFmtId="2" fontId="4" fillId="8" borderId="8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8" borderId="2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9" fontId="13" fillId="0" borderId="20" xfId="21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30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193" fontId="4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4" fillId="0" borderId="3" xfId="0" applyFont="1" applyBorder="1" applyAlignment="1">
      <alignment horizontal="left"/>
    </xf>
    <xf numFmtId="193" fontId="10" fillId="0" borderId="26" xfId="0" applyNumberFormat="1" applyFont="1" applyBorder="1" applyAlignment="1">
      <alignment horizontal="right"/>
    </xf>
    <xf numFmtId="193" fontId="4" fillId="0" borderId="2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2" fontId="4" fillId="8" borderId="0" xfId="0" applyNumberFormat="1" applyFont="1" applyFill="1" applyBorder="1" applyAlignment="1" applyProtection="1">
      <alignment horizontal="center"/>
      <protection locked="0"/>
    </xf>
    <xf numFmtId="2" fontId="4" fillId="8" borderId="5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5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9" borderId="4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9" borderId="0" xfId="0" applyFont="1" applyFill="1" applyBorder="1" applyAlignment="1" applyProtection="1">
      <alignment horizontal="center"/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/>
      <protection locked="0"/>
    </xf>
    <xf numFmtId="0" fontId="4" fillId="10" borderId="0" xfId="0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right"/>
      <protection locked="0"/>
    </xf>
    <xf numFmtId="0" fontId="31" fillId="0" borderId="0" xfId="0" applyFont="1" applyAlignment="1">
      <alignment horizontal="right"/>
    </xf>
    <xf numFmtId="2" fontId="4" fillId="8" borderId="18" xfId="0" applyNumberFormat="1" applyFont="1" applyFill="1" applyBorder="1" applyAlignment="1" applyProtection="1">
      <alignment horizontal="center"/>
      <protection/>
    </xf>
    <xf numFmtId="14" fontId="4" fillId="0" borderId="4" xfId="0" applyNumberFormat="1" applyFont="1" applyBorder="1" applyAlignment="1" applyProtection="1">
      <alignment/>
      <protection locked="0"/>
    </xf>
    <xf numFmtId="1" fontId="11" fillId="0" borderId="18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2" fontId="4" fillId="8" borderId="20" xfId="0" applyNumberFormat="1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>
      <alignment/>
    </xf>
    <xf numFmtId="9" fontId="13" fillId="0" borderId="19" xfId="21" applyFont="1" applyFill="1" applyBorder="1" applyAlignment="1">
      <alignment horizontal="center"/>
    </xf>
    <xf numFmtId="9" fontId="13" fillId="0" borderId="14" xfId="21" applyFont="1" applyFill="1" applyBorder="1" applyAlignment="1">
      <alignment horizontal="center"/>
    </xf>
    <xf numFmtId="9" fontId="13" fillId="0" borderId="15" xfId="2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11" borderId="4" xfId="0" applyFont="1" applyFill="1" applyBorder="1" applyAlignment="1" applyProtection="1">
      <alignment/>
      <protection locked="0"/>
    </xf>
    <xf numFmtId="0" fontId="4" fillId="11" borderId="0" xfId="0" applyFont="1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4" fillId="11" borderId="0" xfId="0" applyFont="1" applyFill="1" applyBorder="1" applyAlignment="1" applyProtection="1">
      <alignment horizontal="center"/>
      <protection locked="0"/>
    </xf>
    <xf numFmtId="0" fontId="4" fillId="11" borderId="5" xfId="0" applyFont="1" applyFill="1" applyBorder="1" applyAlignment="1" applyProtection="1">
      <alignment horizontal="center"/>
      <protection locked="0"/>
    </xf>
    <xf numFmtId="2" fontId="4" fillId="4" borderId="5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2" borderId="29" xfId="0" applyFont="1" applyFill="1" applyBorder="1" applyAlignment="1" applyProtection="1">
      <alignment horizontal="center"/>
      <protection locked="0"/>
    </xf>
    <xf numFmtId="193" fontId="4" fillId="0" borderId="30" xfId="0" applyNumberFormat="1" applyFont="1" applyBorder="1" applyAlignment="1">
      <alignment horizontal="center"/>
    </xf>
    <xf numFmtId="193" fontId="10" fillId="0" borderId="31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center"/>
    </xf>
    <xf numFmtId="190" fontId="10" fillId="0" borderId="33" xfId="0" applyNumberFormat="1" applyFont="1" applyBorder="1" applyAlignment="1">
      <alignment horizontal="right"/>
    </xf>
    <xf numFmtId="193" fontId="4" fillId="0" borderId="5" xfId="0" applyNumberFormat="1" applyFont="1" applyBorder="1" applyAlignment="1">
      <alignment horizontal="left"/>
    </xf>
    <xf numFmtId="193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8" borderId="18" xfId="0" applyNumberFormat="1" applyFont="1" applyFill="1" applyBorder="1" applyAlignment="1" applyProtection="1">
      <alignment horizontal="center"/>
      <protection locked="0"/>
    </xf>
    <xf numFmtId="0" fontId="4" fillId="9" borderId="0" xfId="0" applyFont="1" applyFill="1" applyBorder="1" applyAlignment="1" applyProtection="1">
      <alignment/>
      <protection locked="0"/>
    </xf>
    <xf numFmtId="0" fontId="4" fillId="9" borderId="18" xfId="0" applyFont="1" applyFill="1" applyBorder="1" applyAlignment="1" applyProtection="1">
      <alignment horizontal="center"/>
      <protection locked="0"/>
    </xf>
    <xf numFmtId="0" fontId="4" fillId="12" borderId="4" xfId="0" applyFont="1" applyFill="1" applyBorder="1" applyAlignment="1" applyProtection="1">
      <alignment/>
      <protection locked="0"/>
    </xf>
    <xf numFmtId="0" fontId="4" fillId="12" borderId="0" xfId="0" applyFont="1" applyFill="1" applyBorder="1" applyAlignment="1">
      <alignment/>
    </xf>
    <xf numFmtId="0" fontId="4" fillId="12" borderId="18" xfId="0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2" borderId="3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35" xfId="0" applyFont="1" applyFill="1" applyBorder="1" applyAlignment="1">
      <alignment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31" fillId="0" borderId="0" xfId="0" applyFont="1" applyBorder="1" applyAlignment="1">
      <alignment/>
    </xf>
    <xf numFmtId="1" fontId="11" fillId="0" borderId="18" xfId="0" applyNumberFormat="1" applyFont="1" applyBorder="1" applyAlignment="1" applyProtection="1">
      <alignment/>
      <protection locked="0"/>
    </xf>
    <xf numFmtId="0" fontId="31" fillId="0" borderId="0" xfId="0" applyFont="1" applyAlignment="1">
      <alignment/>
    </xf>
    <xf numFmtId="0" fontId="4" fillId="2" borderId="29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4" xfId="21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4" fontId="4" fillId="0" borderId="4" xfId="0" applyNumberFormat="1" applyFont="1" applyBorder="1" applyAlignment="1">
      <alignment/>
    </xf>
    <xf numFmtId="0" fontId="33" fillId="0" borderId="0" xfId="0" applyFont="1" applyAlignment="1">
      <alignment/>
    </xf>
    <xf numFmtId="1" fontId="11" fillId="0" borderId="0" xfId="0" applyNumberFormat="1" applyFont="1" applyBorder="1" applyAlignment="1" applyProtection="1">
      <alignment horizontal="center"/>
      <protection/>
    </xf>
    <xf numFmtId="1" fontId="11" fillId="0" borderId="5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2" fontId="4" fillId="0" borderId="4" xfId="0" applyNumberFormat="1" applyFont="1" applyBorder="1" applyAlignment="1">
      <alignment horizontal="center"/>
    </xf>
    <xf numFmtId="0" fontId="31" fillId="0" borderId="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31" fillId="0" borderId="24" xfId="0" applyFont="1" applyBorder="1" applyAlignment="1">
      <alignment/>
    </xf>
    <xf numFmtId="0" fontId="31" fillId="0" borderId="8" xfId="0" applyFont="1" applyBorder="1" applyAlignment="1">
      <alignment/>
    </xf>
    <xf numFmtId="2" fontId="4" fillId="0" borderId="0" xfId="0" applyNumberFormat="1" applyFont="1" applyBorder="1" applyAlignment="1" applyProtection="1">
      <alignment horizontal="center"/>
      <protection locked="0"/>
    </xf>
    <xf numFmtId="0" fontId="31" fillId="0" borderId="2" xfId="0" applyFont="1" applyBorder="1" applyAlignment="1">
      <alignment/>
    </xf>
    <xf numFmtId="0" fontId="33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32" fillId="0" borderId="2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0"/>
  <sheetViews>
    <sheetView tabSelected="1" zoomScale="114" zoomScaleNormal="114" workbookViewId="0" topLeftCell="A1">
      <selection activeCell="A42" sqref="A42"/>
    </sheetView>
  </sheetViews>
  <sheetFormatPr defaultColWidth="11.421875" defaultRowHeight="12.75"/>
  <sheetData>
    <row r="1" spans="1:10" ht="13.5" thickBot="1">
      <c r="A1" s="10" t="s">
        <v>151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0" ht="12.75">
      <c r="A3" s="120" t="s">
        <v>1</v>
      </c>
      <c r="B3" s="14">
        <v>5.8</v>
      </c>
      <c r="C3" s="14"/>
      <c r="D3" s="47"/>
      <c r="E3" s="13"/>
      <c r="F3" s="13"/>
      <c r="G3" s="48"/>
      <c r="H3" s="1"/>
      <c r="I3" s="1"/>
      <c r="J3" s="1"/>
    </row>
    <row r="4" spans="1:10" ht="15" thickBot="1">
      <c r="A4" s="121" t="s">
        <v>66</v>
      </c>
      <c r="B4" s="50">
        <v>1.4</v>
      </c>
      <c r="C4" s="51"/>
      <c r="D4" s="52"/>
      <c r="E4" s="42"/>
      <c r="F4" s="42"/>
      <c r="G4" s="53"/>
      <c r="H4" s="1"/>
      <c r="I4" s="1"/>
      <c r="J4" s="1"/>
    </row>
    <row r="5" spans="1:10" ht="12.75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 t="s">
        <v>33</v>
      </c>
      <c r="I5" s="119" t="s">
        <v>64</v>
      </c>
      <c r="J5" s="119" t="s">
        <v>65</v>
      </c>
    </row>
    <row r="6" spans="1:10" ht="15.75">
      <c r="A6" s="27" t="s">
        <v>7</v>
      </c>
      <c r="B6" s="23">
        <f>C6*62.004</f>
        <v>682.044</v>
      </c>
      <c r="C6" s="23">
        <v>11</v>
      </c>
      <c r="D6" s="28">
        <f>C6</f>
        <v>11</v>
      </c>
      <c r="E6" s="27" t="s">
        <v>8</v>
      </c>
      <c r="F6" s="39">
        <f>G6*0.0558</f>
        <v>1.0044</v>
      </c>
      <c r="G6" s="28">
        <v>18</v>
      </c>
      <c r="H6" s="3">
        <f>D10/(D11+D12)</f>
        <v>0.55</v>
      </c>
      <c r="I6" s="3">
        <f>D6+D7+D8</f>
        <v>15.5</v>
      </c>
      <c r="J6" s="3">
        <f>D9+D10+D11+D12</f>
        <v>15.5001</v>
      </c>
    </row>
    <row r="7" spans="1:10" ht="15.75">
      <c r="A7" s="27" t="s">
        <v>9</v>
      </c>
      <c r="B7" s="23">
        <f>C7*96.986</f>
        <v>145.479</v>
      </c>
      <c r="C7" s="23">
        <v>1.5</v>
      </c>
      <c r="D7" s="28">
        <f>C7</f>
        <v>1.5</v>
      </c>
      <c r="E7" s="27" t="s">
        <v>10</v>
      </c>
      <c r="F7" s="39">
        <f>G7*0.0549</f>
        <v>0.9882</v>
      </c>
      <c r="G7" s="28">
        <v>18</v>
      </c>
      <c r="H7" s="2" t="s">
        <v>34</v>
      </c>
      <c r="I7" s="13"/>
      <c r="J7" s="13"/>
    </row>
    <row r="8" spans="1:10" ht="15.75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0.5559</v>
      </c>
      <c r="G8" s="28">
        <v>8.5</v>
      </c>
      <c r="H8" s="3">
        <f>D10/D11</f>
        <v>0.7857142857142857</v>
      </c>
      <c r="I8" s="14"/>
      <c r="J8" s="14"/>
    </row>
    <row r="9" spans="1:10" ht="15.75">
      <c r="A9" s="27" t="s">
        <v>13</v>
      </c>
      <c r="B9" s="23">
        <f>C9*18.039</f>
        <v>0.0018039000000000002</v>
      </c>
      <c r="C9" s="23">
        <v>0.0001</v>
      </c>
      <c r="D9" s="28">
        <f>C9</f>
        <v>0.0001</v>
      </c>
      <c r="E9" s="27" t="s">
        <v>14</v>
      </c>
      <c r="F9" s="39">
        <f>G9*0.0108</f>
        <v>0.10800000000000001</v>
      </c>
      <c r="G9" s="28">
        <v>10</v>
      </c>
      <c r="H9" s="1"/>
      <c r="I9" s="3"/>
      <c r="J9" s="15"/>
    </row>
    <row r="10" spans="1:10" ht="12.75">
      <c r="A10" s="27" t="s">
        <v>15</v>
      </c>
      <c r="B10" s="23">
        <f>C10*39.102</f>
        <v>215.06099999999998</v>
      </c>
      <c r="C10" s="23">
        <v>5.5</v>
      </c>
      <c r="D10" s="28">
        <f>C10</f>
        <v>5.5</v>
      </c>
      <c r="E10" s="27" t="s">
        <v>16</v>
      </c>
      <c r="F10" s="39">
        <f>G10*0.0635</f>
        <v>0.53975</v>
      </c>
      <c r="G10" s="28">
        <v>8.5</v>
      </c>
      <c r="H10" s="14" t="s">
        <v>37</v>
      </c>
      <c r="I10" s="1"/>
      <c r="J10" s="1"/>
    </row>
    <row r="11" spans="1:10" ht="12.75">
      <c r="A11" s="27" t="s">
        <v>17</v>
      </c>
      <c r="B11" s="23">
        <f>C11*40.08</f>
        <v>140.28</v>
      </c>
      <c r="C11" s="23">
        <v>3.5</v>
      </c>
      <c r="D11" s="28">
        <f>C11*2</f>
        <v>7</v>
      </c>
      <c r="E11" s="27" t="s">
        <v>18</v>
      </c>
      <c r="F11" s="39">
        <f>G11*0.0959</f>
        <v>0.038360000000000005</v>
      </c>
      <c r="G11" s="28">
        <v>0.4</v>
      </c>
      <c r="H11" s="3">
        <f>SUM(C6:C12)</f>
        <v>24.5001</v>
      </c>
      <c r="I11" s="1"/>
      <c r="J11" s="1"/>
    </row>
    <row r="12" spans="1:10" ht="13.5" thickBot="1">
      <c r="A12" s="49" t="s">
        <v>19</v>
      </c>
      <c r="B12" s="51">
        <f>C12*24.305</f>
        <v>36.457499999999996</v>
      </c>
      <c r="C12" s="51">
        <v>1.5</v>
      </c>
      <c r="D12" s="60">
        <f>C12*2</f>
        <v>3</v>
      </c>
      <c r="E12" s="41"/>
      <c r="F12" s="42"/>
      <c r="G12" s="43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123" t="s">
        <v>20</v>
      </c>
      <c r="B14" s="125" t="s">
        <v>152</v>
      </c>
      <c r="C14" s="125" t="str">
        <f>B14</f>
        <v>S96</v>
      </c>
      <c r="D14" s="102"/>
      <c r="E14" s="2"/>
      <c r="F14" s="1"/>
      <c r="G14" s="1"/>
      <c r="H14" s="1"/>
      <c r="I14" s="1"/>
      <c r="J14" s="1"/>
    </row>
    <row r="15" spans="1:10" ht="12.75">
      <c r="A15" s="120" t="s">
        <v>21</v>
      </c>
      <c r="B15" s="126" t="s">
        <v>153</v>
      </c>
      <c r="C15" s="126" t="str">
        <f>B15</f>
        <v>ER</v>
      </c>
      <c r="D15" s="46"/>
      <c r="E15" s="2"/>
      <c r="F15" s="1"/>
      <c r="G15" s="1"/>
      <c r="H15" s="1"/>
      <c r="I15" s="1"/>
      <c r="J15" s="1"/>
    </row>
    <row r="16" spans="1:10" ht="12.75">
      <c r="A16" s="120" t="s">
        <v>22</v>
      </c>
      <c r="B16" s="127">
        <v>38470</v>
      </c>
      <c r="C16" s="127">
        <f>B16</f>
        <v>38470</v>
      </c>
      <c r="D16" s="128"/>
      <c r="E16" s="4"/>
      <c r="F16" s="1"/>
      <c r="G16" s="1"/>
      <c r="H16" s="1"/>
      <c r="I16" s="1"/>
      <c r="J16" s="1"/>
    </row>
    <row r="17" spans="1:10" ht="12.75">
      <c r="A17" s="120"/>
      <c r="B17" s="14"/>
      <c r="C17" s="14"/>
      <c r="D17" s="46" t="s">
        <v>23</v>
      </c>
      <c r="E17" s="2"/>
      <c r="F17" s="2"/>
      <c r="H17" s="1"/>
      <c r="I17" s="1"/>
      <c r="J17" s="1"/>
    </row>
    <row r="18" spans="1:10" ht="12.75">
      <c r="A18" s="120" t="s">
        <v>1</v>
      </c>
      <c r="B18" s="126">
        <v>8.3</v>
      </c>
      <c r="C18" s="14"/>
      <c r="D18" s="69"/>
      <c r="E18" s="2"/>
      <c r="F18" s="3"/>
      <c r="H18" s="1"/>
      <c r="I18" s="1"/>
      <c r="J18" s="1"/>
    </row>
    <row r="19" spans="1:10" ht="12.75">
      <c r="A19" s="120" t="s">
        <v>24</v>
      </c>
      <c r="B19" s="126">
        <v>0.285</v>
      </c>
      <c r="C19" s="14"/>
      <c r="D19" s="116">
        <f>(B19-$B$4)/$B$4*100</f>
        <v>-79.64285714285715</v>
      </c>
      <c r="E19" s="2"/>
      <c r="F19" s="3"/>
      <c r="H19" s="1"/>
      <c r="I19" s="1"/>
      <c r="J19" s="1"/>
    </row>
    <row r="20" spans="1:10" ht="12.75">
      <c r="A20" s="120"/>
      <c r="B20" s="14" t="s">
        <v>3</v>
      </c>
      <c r="C20" s="14" t="s">
        <v>5</v>
      </c>
      <c r="D20" s="116"/>
      <c r="E20" s="2"/>
      <c r="F20" s="2"/>
      <c r="H20" s="1"/>
      <c r="I20" s="1"/>
      <c r="J20" s="1"/>
    </row>
    <row r="21" spans="1:10" ht="14.25">
      <c r="A21" s="120" t="s">
        <v>62</v>
      </c>
      <c r="B21" s="126">
        <v>20</v>
      </c>
      <c r="C21" s="23">
        <f>B21/62.004</f>
        <v>0.32255983484936457</v>
      </c>
      <c r="D21" s="116">
        <f>(C21-$D$6)/$D$6*100</f>
        <v>-97.06763786500578</v>
      </c>
      <c r="E21" s="3"/>
      <c r="F21" s="3"/>
      <c r="H21" s="5"/>
      <c r="I21" s="1"/>
      <c r="J21" s="1"/>
    </row>
    <row r="22" spans="1:10" ht="14.25">
      <c r="A22" s="120" t="s">
        <v>59</v>
      </c>
      <c r="B22" s="126">
        <v>0</v>
      </c>
      <c r="C22" s="117">
        <f>B22/96.97</f>
        <v>0</v>
      </c>
      <c r="D22" s="116">
        <f>(C22-$D$7)/$D$7*100</f>
        <v>-100</v>
      </c>
      <c r="E22" s="3"/>
      <c r="F22" s="3"/>
      <c r="H22" s="1"/>
      <c r="I22" s="1"/>
      <c r="J22" s="1"/>
    </row>
    <row r="23" spans="1:10" ht="14.25">
      <c r="A23" s="120" t="s">
        <v>60</v>
      </c>
      <c r="B23" s="126">
        <v>47.6</v>
      </c>
      <c r="C23" s="23">
        <f>B23/96.056*2</f>
        <v>0.9910885316898477</v>
      </c>
      <c r="D23" s="116">
        <f>(C23-$D$8)/$D$8*100</f>
        <v>-66.96371561033841</v>
      </c>
      <c r="E23" s="3"/>
      <c r="F23" s="3"/>
      <c r="H23" s="1"/>
      <c r="I23" s="1"/>
      <c r="J23" s="1"/>
    </row>
    <row r="24" spans="1:10" ht="14.25">
      <c r="A24" s="120" t="s">
        <v>58</v>
      </c>
      <c r="B24" s="126">
        <v>0.04</v>
      </c>
      <c r="C24" s="23">
        <f>B24/18.039</f>
        <v>0.002217417816952159</v>
      </c>
      <c r="D24" s="116">
        <f>(C24-$D$9)/$D$9*100</f>
        <v>2117.417816952159</v>
      </c>
      <c r="E24" s="3"/>
      <c r="F24" s="3"/>
      <c r="H24" s="1"/>
      <c r="I24" s="1"/>
      <c r="J24" s="1"/>
    </row>
    <row r="25" spans="1:10" ht="12.75">
      <c r="A25" s="120" t="s">
        <v>15</v>
      </c>
      <c r="B25" s="126">
        <v>1.91</v>
      </c>
      <c r="C25" s="23">
        <f>B25/39.102</f>
        <v>0.04884660631169761</v>
      </c>
      <c r="D25" s="116">
        <f>(C25-$D$10)/$D$10*100</f>
        <v>-99.11187988524186</v>
      </c>
      <c r="E25" s="3"/>
      <c r="F25" s="3"/>
      <c r="H25" s="1"/>
      <c r="I25" s="1"/>
      <c r="J25" s="1"/>
    </row>
    <row r="26" spans="1:10" ht="12.75">
      <c r="A26" s="120" t="s">
        <v>17</v>
      </c>
      <c r="B26" s="126">
        <v>42.7</v>
      </c>
      <c r="C26" s="23">
        <f>B26/40.08*2</f>
        <v>2.130738522954092</v>
      </c>
      <c r="D26" s="116">
        <f>(C26-$D$11)/$D$11*100</f>
        <v>-69.56087824351297</v>
      </c>
      <c r="E26" s="3"/>
      <c r="F26" s="3"/>
      <c r="H26" s="1"/>
      <c r="I26" s="1"/>
      <c r="J26" s="1"/>
    </row>
    <row r="27" spans="1:10" ht="12.75">
      <c r="A27" s="120" t="s">
        <v>19</v>
      </c>
      <c r="B27" s="126">
        <v>8.8</v>
      </c>
      <c r="C27" s="23">
        <f>B27/24.305*2</f>
        <v>0.7241308372762807</v>
      </c>
      <c r="D27" s="116">
        <f>(C27-$D$12)/$D$12*100</f>
        <v>-75.86230542412396</v>
      </c>
      <c r="E27" s="3"/>
      <c r="F27" s="3"/>
      <c r="H27" s="1"/>
      <c r="I27" s="1"/>
      <c r="J27" s="1"/>
    </row>
    <row r="28" spans="1:10" ht="12.75">
      <c r="A28" s="120" t="s">
        <v>25</v>
      </c>
      <c r="B28" s="126">
        <v>16.8</v>
      </c>
      <c r="C28" s="23">
        <f>B28/22.99</f>
        <v>0.7307525010874294</v>
      </c>
      <c r="D28" s="116"/>
      <c r="E28" s="3"/>
      <c r="F28" s="3"/>
      <c r="H28" s="1"/>
      <c r="I28" s="1"/>
      <c r="J28" s="1"/>
    </row>
    <row r="29" spans="1:10" ht="12.75">
      <c r="A29" s="120" t="s">
        <v>26</v>
      </c>
      <c r="B29" s="126">
        <v>10</v>
      </c>
      <c r="C29" s="23">
        <f>B29/35.453</f>
        <v>0.2820635771302851</v>
      </c>
      <c r="D29" s="116"/>
      <c r="E29" s="3"/>
      <c r="F29" s="3"/>
      <c r="H29" s="1"/>
      <c r="I29" s="1"/>
      <c r="J29" s="1"/>
    </row>
    <row r="30" spans="1:10" ht="14.25">
      <c r="A30" s="120" t="s">
        <v>61</v>
      </c>
      <c r="B30" s="126">
        <v>129.27</v>
      </c>
      <c r="C30" s="23">
        <f>B30/61.016</f>
        <v>2.118624623049692</v>
      </c>
      <c r="D30" s="116"/>
      <c r="E30" s="3"/>
      <c r="F30" s="3"/>
      <c r="H30" s="1"/>
      <c r="I30" s="1"/>
      <c r="J30" s="1"/>
    </row>
    <row r="31" spans="1:10" ht="12.75">
      <c r="A31" s="120"/>
      <c r="B31" s="14" t="s">
        <v>3</v>
      </c>
      <c r="C31" s="129" t="s">
        <v>27</v>
      </c>
      <c r="D31" s="116"/>
      <c r="E31" s="2"/>
      <c r="F31" s="2"/>
      <c r="H31" s="1"/>
      <c r="I31" s="1"/>
      <c r="J31" s="1"/>
    </row>
    <row r="32" spans="1:10" ht="12.75">
      <c r="A32" s="120" t="s">
        <v>8</v>
      </c>
      <c r="B32" s="126">
        <v>0.02</v>
      </c>
      <c r="C32" s="23">
        <f>B32/0.0558</f>
        <v>0.35842293906810035</v>
      </c>
      <c r="D32" s="116">
        <f>(C32-$G$6)/$G$6*100</f>
        <v>-98.00876144962167</v>
      </c>
      <c r="E32" s="3"/>
      <c r="F32" s="3"/>
      <c r="H32" s="1"/>
      <c r="I32" s="1"/>
      <c r="J32" s="1"/>
    </row>
    <row r="33" spans="1:10" ht="12.75">
      <c r="A33" s="120" t="s">
        <v>10</v>
      </c>
      <c r="B33" s="126">
        <v>0</v>
      </c>
      <c r="C33" s="23">
        <f>B33/0.0549</f>
        <v>0</v>
      </c>
      <c r="D33" s="116">
        <f>(C33-$G$7)/$G$7*100</f>
        <v>-100</v>
      </c>
      <c r="E33" s="3"/>
      <c r="F33" s="3"/>
      <c r="H33" s="1"/>
      <c r="I33" s="1"/>
      <c r="J33" s="1"/>
    </row>
    <row r="34" spans="1:10" ht="12.75">
      <c r="A34" s="120" t="s">
        <v>12</v>
      </c>
      <c r="B34" s="126">
        <v>0</v>
      </c>
      <c r="C34" s="23">
        <f>B34/0.0654</f>
        <v>0</v>
      </c>
      <c r="D34" s="116">
        <f>(C34-$G$8)/$G$8*100</f>
        <v>-100</v>
      </c>
      <c r="E34" s="3"/>
      <c r="F34" s="3"/>
      <c r="H34" s="1"/>
      <c r="I34" s="1"/>
      <c r="J34" s="1"/>
    </row>
    <row r="35" spans="1:10" ht="12.75">
      <c r="A35" s="120" t="s">
        <v>14</v>
      </c>
      <c r="B35" s="126">
        <v>0.03</v>
      </c>
      <c r="C35" s="23">
        <f>B35/0.0108</f>
        <v>2.7777777777777777</v>
      </c>
      <c r="D35" s="116">
        <f>(C35-$G$9)/$G$9*100</f>
        <v>-72.22222222222221</v>
      </c>
      <c r="E35" s="3"/>
      <c r="F35" s="3"/>
      <c r="H35" s="1"/>
      <c r="I35" s="1"/>
      <c r="J35" s="1"/>
    </row>
    <row r="36" spans="1:10" ht="12.75">
      <c r="A36" s="120" t="s">
        <v>16</v>
      </c>
      <c r="B36" s="126">
        <v>0</v>
      </c>
      <c r="C36" s="23">
        <f>B36/0.0635</f>
        <v>0</v>
      </c>
      <c r="D36" s="116">
        <f>(C36-$G$10)/$G$10*100</f>
        <v>-100</v>
      </c>
      <c r="E36" s="3"/>
      <c r="F36" s="3"/>
      <c r="H36" s="1"/>
      <c r="I36" s="1"/>
      <c r="J36" s="1"/>
    </row>
    <row r="37" spans="1:10" ht="12.75">
      <c r="A37" s="120" t="s">
        <v>18</v>
      </c>
      <c r="B37" s="14"/>
      <c r="C37" s="23"/>
      <c r="D37" s="116"/>
      <c r="E37" s="3"/>
      <c r="F37" s="3"/>
      <c r="H37" s="1"/>
      <c r="I37" s="1"/>
      <c r="J37" s="1"/>
    </row>
    <row r="38" spans="1:10" ht="13.5" thickBot="1">
      <c r="A38" s="41"/>
      <c r="B38" s="42"/>
      <c r="C38" s="42"/>
      <c r="D38" s="72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30" t="s">
        <v>38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16">
        <f>(C22+C21+C23+C29+C30)-(C27+C26+C25+C24+C28)</f>
        <v>0.077650681272738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  <headerFooter alignWithMargins="0">
    <oddFooter>&amp;L&amp;F/&amp;A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116" zoomScaleNormal="116" workbookViewId="0" topLeftCell="A1">
      <selection activeCell="H3" sqref="H3"/>
    </sheetView>
  </sheetViews>
  <sheetFormatPr defaultColWidth="11.421875" defaultRowHeight="12.75"/>
  <cols>
    <col min="13" max="13" width="13.8515625" style="0" bestFit="1" customWidth="1"/>
  </cols>
  <sheetData>
    <row r="1" spans="1:10" ht="13.5" thickBot="1">
      <c r="A1" s="10" t="s">
        <v>168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0" ht="12.75">
      <c r="A3" s="120" t="s">
        <v>1</v>
      </c>
      <c r="B3" s="14">
        <v>5.5</v>
      </c>
      <c r="C3" s="14"/>
      <c r="D3" s="47"/>
      <c r="E3" s="13"/>
      <c r="F3" s="13"/>
      <c r="G3" s="48"/>
      <c r="H3" s="1"/>
      <c r="I3" s="1"/>
      <c r="J3" s="1"/>
    </row>
    <row r="4" spans="1:10" ht="15" thickBot="1">
      <c r="A4" s="121" t="s">
        <v>66</v>
      </c>
      <c r="B4" s="50">
        <v>2.6</v>
      </c>
      <c r="C4" s="51"/>
      <c r="D4" s="52"/>
      <c r="E4" s="42"/>
      <c r="F4" s="42"/>
      <c r="G4" s="53"/>
      <c r="H4" s="1"/>
      <c r="I4" s="1"/>
      <c r="J4" s="1"/>
    </row>
    <row r="5" spans="1:10" ht="12.75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/>
      <c r="I5" s="119"/>
      <c r="J5" s="119"/>
    </row>
    <row r="6" spans="1:11" ht="15.75">
      <c r="A6" s="27" t="s">
        <v>7</v>
      </c>
      <c r="B6" s="23">
        <f>C6*62.004</f>
        <v>666.543</v>
      </c>
      <c r="C6" s="23">
        <v>10.75</v>
      </c>
      <c r="D6" s="28">
        <f>C6</f>
        <v>10.75</v>
      </c>
      <c r="E6" s="27" t="s">
        <v>8</v>
      </c>
      <c r="F6" s="39">
        <f>G6*0.0558</f>
        <v>0.8370000000000001</v>
      </c>
      <c r="G6" s="28">
        <v>15</v>
      </c>
      <c r="H6" s="12" t="s">
        <v>33</v>
      </c>
      <c r="I6" s="12" t="s">
        <v>34</v>
      </c>
      <c r="J6" s="119" t="s">
        <v>64</v>
      </c>
      <c r="K6" s="119" t="s">
        <v>65</v>
      </c>
    </row>
    <row r="7" spans="1:12" ht="15.75">
      <c r="A7" s="27" t="s">
        <v>9</v>
      </c>
      <c r="B7" s="23">
        <f>C7*96.986</f>
        <v>121.2325</v>
      </c>
      <c r="C7" s="23">
        <v>1.25</v>
      </c>
      <c r="D7" s="28">
        <f>C7</f>
        <v>1.25</v>
      </c>
      <c r="E7" s="27" t="s">
        <v>10</v>
      </c>
      <c r="F7" s="39">
        <f>G7*0.0549</f>
        <v>0.5489999999999999</v>
      </c>
      <c r="G7" s="28">
        <v>10</v>
      </c>
      <c r="H7" s="3">
        <f>D10/(D11+D12)</f>
        <v>0.8666666666666667</v>
      </c>
      <c r="I7" s="3">
        <f>D10/D11</f>
        <v>1.1818181818181819</v>
      </c>
      <c r="J7" s="3">
        <f>D6+D7+D8</f>
        <v>15</v>
      </c>
      <c r="K7" s="3">
        <f>D9+D10+D11+D12</f>
        <v>15</v>
      </c>
      <c r="L7" t="s">
        <v>142</v>
      </c>
    </row>
    <row r="8" spans="1:12" ht="15.75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0.2616</v>
      </c>
      <c r="G8" s="28">
        <v>4</v>
      </c>
      <c r="H8" s="3">
        <f>C25/(C26+C27)</f>
        <v>0.9600348636129667</v>
      </c>
      <c r="I8" s="3">
        <f>C25/C26</f>
        <v>1.370478350070187</v>
      </c>
      <c r="J8" s="3">
        <f>C21+C22+C23</f>
        <v>19.139501926400214</v>
      </c>
      <c r="K8" s="3">
        <f>C24+C25+C26+C27</f>
        <v>20.312352869677476</v>
      </c>
      <c r="L8" t="s">
        <v>113</v>
      </c>
    </row>
    <row r="9" spans="1:12" ht="15.75">
      <c r="A9" s="27" t="s">
        <v>13</v>
      </c>
      <c r="B9" s="23">
        <f>C9*18.039</f>
        <v>18.039</v>
      </c>
      <c r="C9" s="23">
        <v>1</v>
      </c>
      <c r="D9" s="28">
        <f>C9</f>
        <v>1</v>
      </c>
      <c r="E9" s="27" t="s">
        <v>14</v>
      </c>
      <c r="F9" s="39">
        <f>G9*0.0108</f>
        <v>0.21600000000000003</v>
      </c>
      <c r="G9" s="28">
        <v>20</v>
      </c>
      <c r="H9" s="3">
        <f>I25/(I26+I27)</f>
        <v>0.8114226155652318</v>
      </c>
      <c r="I9" s="3">
        <f>I25/I26</f>
        <v>1.2844280012199811</v>
      </c>
      <c r="J9" s="3">
        <f>I21+I22+I23</f>
        <v>35.20440952457638</v>
      </c>
      <c r="K9" s="3">
        <f>I24+I25+I26+I27</f>
        <v>34.864252805077975</v>
      </c>
      <c r="L9" t="s">
        <v>114</v>
      </c>
    </row>
    <row r="10" spans="1:10" ht="12.75">
      <c r="A10" s="27" t="s">
        <v>15</v>
      </c>
      <c r="B10" s="23">
        <f>C10*39.102</f>
        <v>254.16299999999998</v>
      </c>
      <c r="C10" s="23">
        <v>6.5</v>
      </c>
      <c r="D10" s="28">
        <f>C10</f>
        <v>6.5</v>
      </c>
      <c r="E10" s="27" t="s">
        <v>16</v>
      </c>
      <c r="F10" s="39">
        <f>G10*0.0635</f>
        <v>0.047625</v>
      </c>
      <c r="G10" s="28">
        <v>0.75</v>
      </c>
      <c r="H10" s="14" t="s">
        <v>37</v>
      </c>
      <c r="I10" s="1"/>
      <c r="J10" s="1"/>
    </row>
    <row r="11" spans="1:10" ht="12.75">
      <c r="A11" s="27" t="s">
        <v>17</v>
      </c>
      <c r="B11" s="23">
        <f>C11*40.08</f>
        <v>110.22</v>
      </c>
      <c r="C11" s="23">
        <v>2.75</v>
      </c>
      <c r="D11" s="28">
        <f>C11*2</f>
        <v>5.5</v>
      </c>
      <c r="E11" s="27" t="s">
        <v>18</v>
      </c>
      <c r="F11" s="39">
        <f>G11*0.0959</f>
        <v>0.04795</v>
      </c>
      <c r="G11" s="28">
        <v>0.5</v>
      </c>
      <c r="H11" s="3">
        <f>SUM(C6:C12)</f>
        <v>24.75</v>
      </c>
      <c r="I11" s="1"/>
      <c r="J11" s="1"/>
    </row>
    <row r="12" spans="1:10" ht="13.5" thickBot="1">
      <c r="A12" s="49" t="s">
        <v>19</v>
      </c>
      <c r="B12" s="51">
        <f>C12*24.305</f>
        <v>24.305</v>
      </c>
      <c r="C12" s="51">
        <v>1</v>
      </c>
      <c r="D12" s="60">
        <f>C12*2</f>
        <v>2</v>
      </c>
      <c r="E12" s="41"/>
      <c r="F12" s="42"/>
      <c r="G12" s="43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3" ht="12.75">
      <c r="A14" s="123" t="s">
        <v>20</v>
      </c>
      <c r="B14" s="125" t="s">
        <v>169</v>
      </c>
      <c r="C14" s="125" t="str">
        <f>B14</f>
        <v>S92</v>
      </c>
      <c r="D14" s="102"/>
      <c r="E14" s="2"/>
      <c r="F14" s="1"/>
      <c r="G14" s="123" t="s">
        <v>20</v>
      </c>
      <c r="H14" s="125"/>
      <c r="I14" s="125">
        <f>H14</f>
        <v>0</v>
      </c>
      <c r="J14" s="102"/>
      <c r="K14" s="2"/>
      <c r="L14" s="256"/>
      <c r="M14" s="257"/>
    </row>
    <row r="15" spans="1:13" ht="12.75">
      <c r="A15" s="120" t="s">
        <v>21</v>
      </c>
      <c r="B15" s="126"/>
      <c r="C15" s="126">
        <f>B15</f>
        <v>0</v>
      </c>
      <c r="D15" s="46"/>
      <c r="E15" s="2"/>
      <c r="F15" s="1"/>
      <c r="G15" s="120" t="s">
        <v>21</v>
      </c>
      <c r="H15" s="126" t="s">
        <v>170</v>
      </c>
      <c r="I15" s="126" t="str">
        <f>H15</f>
        <v>S93</v>
      </c>
      <c r="J15" s="46"/>
      <c r="K15" s="2"/>
      <c r="L15" s="258"/>
      <c r="M15" s="259"/>
    </row>
    <row r="16" spans="1:13" ht="12.75">
      <c r="A16" s="120" t="s">
        <v>22</v>
      </c>
      <c r="B16" s="127">
        <v>39595</v>
      </c>
      <c r="C16" s="127">
        <f>B16</f>
        <v>39595</v>
      </c>
      <c r="D16" s="128"/>
      <c r="E16" s="4"/>
      <c r="F16" s="1"/>
      <c r="G16" s="120" t="s">
        <v>22</v>
      </c>
      <c r="H16" s="127">
        <v>39595</v>
      </c>
      <c r="I16" s="127">
        <f>H16</f>
        <v>39595</v>
      </c>
      <c r="J16" s="128"/>
      <c r="K16" s="4"/>
      <c r="L16" s="258"/>
      <c r="M16" s="259"/>
    </row>
    <row r="17" spans="1:13" ht="12.75">
      <c r="A17" s="120"/>
      <c r="B17" s="14"/>
      <c r="C17" s="14"/>
      <c r="D17" s="46" t="s">
        <v>23</v>
      </c>
      <c r="E17" s="2"/>
      <c r="F17" s="2"/>
      <c r="G17" s="120"/>
      <c r="H17" s="14"/>
      <c r="I17" s="14"/>
      <c r="J17" s="46" t="s">
        <v>23</v>
      </c>
      <c r="K17" s="2"/>
      <c r="L17" s="286" t="s">
        <v>141</v>
      </c>
      <c r="M17" s="287"/>
    </row>
    <row r="18" spans="1:13" ht="12.75">
      <c r="A18" s="120" t="s">
        <v>1</v>
      </c>
      <c r="B18" s="126">
        <v>6.4</v>
      </c>
      <c r="C18" s="14"/>
      <c r="D18" s="69"/>
      <c r="E18" s="2"/>
      <c r="F18" s="3"/>
      <c r="G18" s="120" t="s">
        <v>1</v>
      </c>
      <c r="H18" s="126">
        <v>5.8</v>
      </c>
      <c r="I18" s="14"/>
      <c r="J18" s="69"/>
      <c r="K18" s="2"/>
      <c r="L18" s="258"/>
      <c r="M18" s="259"/>
    </row>
    <row r="19" spans="1:13" ht="12.75">
      <c r="A19" s="120" t="s">
        <v>24</v>
      </c>
      <c r="B19" s="126">
        <v>2.081</v>
      </c>
      <c r="C19" s="14"/>
      <c r="D19" s="116">
        <f>(B19-$B$4)/$B$4*100</f>
        <v>-19.961538461538467</v>
      </c>
      <c r="E19" s="2"/>
      <c r="F19" s="3"/>
      <c r="G19" s="120" t="s">
        <v>24</v>
      </c>
      <c r="H19" s="126">
        <v>3.256</v>
      </c>
      <c r="I19" s="14"/>
      <c r="J19" s="116">
        <f>(H19-$B$4)/$B$4*100</f>
        <v>25.23076923076922</v>
      </c>
      <c r="K19" s="2"/>
      <c r="L19" s="258"/>
      <c r="M19" s="259"/>
    </row>
    <row r="20" spans="1:13" ht="12.75">
      <c r="A20" s="120"/>
      <c r="B20" s="14" t="s">
        <v>3</v>
      </c>
      <c r="C20" s="14" t="s">
        <v>5</v>
      </c>
      <c r="D20" s="116"/>
      <c r="E20" s="2"/>
      <c r="F20" s="2"/>
      <c r="G20" s="120"/>
      <c r="H20" s="14" t="s">
        <v>3</v>
      </c>
      <c r="I20" s="14" t="s">
        <v>5</v>
      </c>
      <c r="J20" s="116"/>
      <c r="K20" s="2"/>
      <c r="L20" s="258"/>
      <c r="M20" s="259"/>
    </row>
    <row r="21" spans="1:13" ht="14.25">
      <c r="A21" s="120" t="s">
        <v>62</v>
      </c>
      <c r="B21" s="275">
        <v>766.7</v>
      </c>
      <c r="C21" s="23">
        <f>B21*1/62.004</f>
        <v>12.365331268950392</v>
      </c>
      <c r="D21" s="116">
        <f>(C21-$D$6)/$D$6*100</f>
        <v>15.026337385585043</v>
      </c>
      <c r="E21" s="3" t="str">
        <f aca="true" t="shared" si="0" ref="E21:E36">IF(D21&gt;25,"Accumulation",IF(D21&lt;-25,"Manque"," "))</f>
        <v> </v>
      </c>
      <c r="F21" s="3"/>
      <c r="G21" s="120" t="s">
        <v>62</v>
      </c>
      <c r="H21" s="126">
        <v>1249.74</v>
      </c>
      <c r="I21" s="23">
        <f>H21*1/62.004</f>
        <v>20.155796400232244</v>
      </c>
      <c r="J21" s="116">
        <f>(I21-$D$6)/$D$6*100</f>
        <v>87.4957804672767</v>
      </c>
      <c r="K21" s="3" t="str">
        <f aca="true" t="shared" si="1" ref="K21:K36">IF(J21&gt;25,"Accumulation",IF(J21&lt;-25,"Manque"," "))</f>
        <v>Accumulation</v>
      </c>
      <c r="L21" s="260">
        <f aca="true" t="shared" si="2" ref="L21:L27">(I21-C21)/D6*100</f>
        <v>72.46944308169165</v>
      </c>
      <c r="M21" s="259" t="str">
        <f aca="true" t="shared" si="3" ref="M21:M36">IF(L21&gt;25,"Accumulation",IF(L21&lt;-25,"Consommation"," "))</f>
        <v>Accumulation</v>
      </c>
    </row>
    <row r="22" spans="1:13" ht="14.25">
      <c r="A22" s="120" t="s">
        <v>59</v>
      </c>
      <c r="B22" s="275">
        <v>160.4</v>
      </c>
      <c r="C22" s="117">
        <f>B22*0.01053</f>
        <v>1.689012</v>
      </c>
      <c r="D22" s="116">
        <f>(C22-$D$7)/$D$7*100</f>
        <v>35.12096</v>
      </c>
      <c r="E22" s="3" t="str">
        <f t="shared" si="0"/>
        <v>Accumulation</v>
      </c>
      <c r="F22" s="3"/>
      <c r="G22" s="120" t="s">
        <v>59</v>
      </c>
      <c r="H22" s="126">
        <v>330.4</v>
      </c>
      <c r="I22" s="23">
        <f>H22*0.01053</f>
        <v>3.4791119999999998</v>
      </c>
      <c r="J22" s="116">
        <f>(I22-$D$7)/$D$7*100</f>
        <v>178.32896</v>
      </c>
      <c r="K22" s="3" t="str">
        <f t="shared" si="1"/>
        <v>Accumulation</v>
      </c>
      <c r="L22" s="260">
        <f t="shared" si="2"/>
        <v>143.20799999999997</v>
      </c>
      <c r="M22" s="259" t="str">
        <f t="shared" si="3"/>
        <v>Accumulation</v>
      </c>
    </row>
    <row r="23" spans="1:13" ht="14.25">
      <c r="A23" s="120" t="s">
        <v>60</v>
      </c>
      <c r="B23" s="275">
        <v>244.23</v>
      </c>
      <c r="C23" s="23">
        <f>B23/96.056*2</f>
        <v>5.085158657449821</v>
      </c>
      <c r="D23" s="116">
        <f>(C23-$D$8)/$D$8*100</f>
        <v>69.50528858166068</v>
      </c>
      <c r="E23" s="3" t="str">
        <f t="shared" si="0"/>
        <v>Accumulation</v>
      </c>
      <c r="F23" s="3"/>
      <c r="G23" s="120" t="s">
        <v>60</v>
      </c>
      <c r="H23" s="126">
        <v>555.66</v>
      </c>
      <c r="I23" s="23">
        <f>H23/96.056*2</f>
        <v>11.569501124344132</v>
      </c>
      <c r="J23" s="116">
        <f>(I23-$D$8)/$D$8*100</f>
        <v>285.65003747813773</v>
      </c>
      <c r="K23" s="3" t="str">
        <f t="shared" si="1"/>
        <v>Accumulation</v>
      </c>
      <c r="L23" s="260">
        <f t="shared" si="2"/>
        <v>216.14474889647704</v>
      </c>
      <c r="M23" s="259" t="str">
        <f t="shared" si="3"/>
        <v>Accumulation</v>
      </c>
    </row>
    <row r="24" spans="1:13" ht="14.25">
      <c r="A24" s="120" t="s">
        <v>58</v>
      </c>
      <c r="B24" s="275">
        <v>26.4</v>
      </c>
      <c r="C24" s="23">
        <f>B24/18.039</f>
        <v>1.4634957591884248</v>
      </c>
      <c r="D24" s="116">
        <f>(C24-$D$9)/$D$9*100</f>
        <v>46.349575918842476</v>
      </c>
      <c r="E24" s="3" t="str">
        <f t="shared" si="0"/>
        <v>Accumulation</v>
      </c>
      <c r="F24" s="3"/>
      <c r="G24" s="120" t="s">
        <v>58</v>
      </c>
      <c r="H24" s="126">
        <v>1.72</v>
      </c>
      <c r="I24" s="23">
        <f>H24/18.039</f>
        <v>0.09534896612894284</v>
      </c>
      <c r="J24" s="116">
        <f>(I24-$D$9)/$D$9*100</f>
        <v>-90.46510338710571</v>
      </c>
      <c r="K24" s="3" t="str">
        <f t="shared" si="1"/>
        <v>Manque</v>
      </c>
      <c r="L24" s="260">
        <f t="shared" si="2"/>
        <v>-136.8146793059482</v>
      </c>
      <c r="M24" s="259" t="str">
        <f t="shared" si="3"/>
        <v>Consommation</v>
      </c>
    </row>
    <row r="25" spans="1:13" ht="12.75">
      <c r="A25" s="120" t="s">
        <v>15</v>
      </c>
      <c r="B25" s="275">
        <v>361</v>
      </c>
      <c r="C25" s="23">
        <f>B25/39.102</f>
        <v>9.232264334305151</v>
      </c>
      <c r="D25" s="116">
        <f>(C25-$D$10)/$D$10*100</f>
        <v>42.03483591238694</v>
      </c>
      <c r="E25" s="3" t="str">
        <f t="shared" si="0"/>
        <v>Accumulation</v>
      </c>
      <c r="F25" s="3"/>
      <c r="G25" s="120" t="s">
        <v>15</v>
      </c>
      <c r="H25" s="126">
        <v>609</v>
      </c>
      <c r="I25" s="23">
        <f>H25/39.102</f>
        <v>15.574650912996779</v>
      </c>
      <c r="J25" s="116">
        <f>(I25-$D$10)/$D$10*100</f>
        <v>139.61001404610428</v>
      </c>
      <c r="K25" s="3" t="str">
        <f t="shared" si="1"/>
        <v>Accumulation</v>
      </c>
      <c r="L25" s="260">
        <f t="shared" si="2"/>
        <v>97.57517813371734</v>
      </c>
      <c r="M25" s="259" t="str">
        <f t="shared" si="3"/>
        <v>Accumulation</v>
      </c>
    </row>
    <row r="26" spans="1:13" ht="12.75">
      <c r="A26" s="120" t="s">
        <v>17</v>
      </c>
      <c r="B26" s="275">
        <v>135</v>
      </c>
      <c r="C26" s="23">
        <f>B26/40.08*2</f>
        <v>6.736526946107785</v>
      </c>
      <c r="D26" s="116">
        <f>(C26-$D$11)/$D$11*100</f>
        <v>22.482308111050628</v>
      </c>
      <c r="E26" s="3" t="str">
        <f t="shared" si="0"/>
        <v> </v>
      </c>
      <c r="F26" s="3"/>
      <c r="G26" s="120" t="s">
        <v>17</v>
      </c>
      <c r="H26" s="126">
        <v>243</v>
      </c>
      <c r="I26" s="23">
        <f>H26/40.08*2</f>
        <v>12.125748502994012</v>
      </c>
      <c r="J26" s="116">
        <f>(I26-$D$11)/$D$11*100</f>
        <v>120.46815459989114</v>
      </c>
      <c r="K26" s="3" t="str">
        <f t="shared" si="1"/>
        <v>Accumulation</v>
      </c>
      <c r="L26" s="260">
        <f t="shared" si="2"/>
        <v>97.98584648884051</v>
      </c>
      <c r="M26" s="259" t="str">
        <f t="shared" si="3"/>
        <v>Accumulation</v>
      </c>
    </row>
    <row r="27" spans="1:13" ht="12.75">
      <c r="A27" s="120" t="s">
        <v>19</v>
      </c>
      <c r="B27" s="275">
        <v>35</v>
      </c>
      <c r="C27" s="23">
        <f>B27/24.305*2</f>
        <v>2.880065830076116</v>
      </c>
      <c r="D27" s="116">
        <f>(C27-$D$12)/$D$12*100</f>
        <v>44.0032915038058</v>
      </c>
      <c r="E27" s="3" t="str">
        <f t="shared" si="0"/>
        <v>Accumulation</v>
      </c>
      <c r="F27" s="3"/>
      <c r="G27" s="120" t="s">
        <v>19</v>
      </c>
      <c r="H27" s="126">
        <v>85.9</v>
      </c>
      <c r="I27" s="23">
        <f>H27/24.305*2</f>
        <v>7.06850442295824</v>
      </c>
      <c r="J27" s="116">
        <f>(I27-$D$12)/$D$12*100</f>
        <v>253.425221147912</v>
      </c>
      <c r="K27" s="3" t="str">
        <f t="shared" si="1"/>
        <v>Accumulation</v>
      </c>
      <c r="L27" s="260">
        <f t="shared" si="2"/>
        <v>209.42192964410617</v>
      </c>
      <c r="M27" s="259" t="str">
        <f t="shared" si="3"/>
        <v>Accumulation</v>
      </c>
    </row>
    <row r="28" spans="1:13" ht="12.75">
      <c r="A28" s="120" t="s">
        <v>25</v>
      </c>
      <c r="B28" s="275">
        <v>16.5</v>
      </c>
      <c r="C28" s="23">
        <f>B28/22.99</f>
        <v>0.7177033492822967</v>
      </c>
      <c r="D28" s="116"/>
      <c r="E28" s="3" t="str">
        <f t="shared" si="0"/>
        <v> </v>
      </c>
      <c r="F28" s="3"/>
      <c r="G28" s="120" t="s">
        <v>25</v>
      </c>
      <c r="H28" s="126">
        <v>59.7</v>
      </c>
      <c r="I28" s="23">
        <f>H28/22.99</f>
        <v>2.596781209221401</v>
      </c>
      <c r="J28" s="116"/>
      <c r="K28" s="3" t="str">
        <f t="shared" si="1"/>
        <v> </v>
      </c>
      <c r="L28" s="260"/>
      <c r="M28" s="259" t="str">
        <f t="shared" si="3"/>
        <v> </v>
      </c>
    </row>
    <row r="29" spans="1:13" ht="12.75">
      <c r="A29" s="120" t="s">
        <v>26</v>
      </c>
      <c r="B29" s="275">
        <v>24.12</v>
      </c>
      <c r="C29" s="23">
        <f>B29/35.453</f>
        <v>0.6803373480382477</v>
      </c>
      <c r="D29" s="116"/>
      <c r="E29" s="3" t="str">
        <f t="shared" si="0"/>
        <v> </v>
      </c>
      <c r="F29" s="3"/>
      <c r="G29" s="120" t="s">
        <v>26</v>
      </c>
      <c r="H29" s="126">
        <v>2.99</v>
      </c>
      <c r="I29" s="23">
        <f>H29/35.453</f>
        <v>0.08433700956195526</v>
      </c>
      <c r="J29" s="116"/>
      <c r="K29" s="3" t="str">
        <f t="shared" si="1"/>
        <v> </v>
      </c>
      <c r="L29" s="260"/>
      <c r="M29" s="259" t="str">
        <f t="shared" si="3"/>
        <v> </v>
      </c>
    </row>
    <row r="30" spans="1:13" ht="14.25">
      <c r="A30" s="120" t="s">
        <v>61</v>
      </c>
      <c r="B30" s="275">
        <v>50.56</v>
      </c>
      <c r="C30" s="23">
        <f>B30/61.016</f>
        <v>0.8286351121017439</v>
      </c>
      <c r="D30" s="116"/>
      <c r="E30" s="3" t="str">
        <f t="shared" si="0"/>
        <v> </v>
      </c>
      <c r="F30" s="3"/>
      <c r="G30" s="120" t="s">
        <v>61</v>
      </c>
      <c r="H30" s="126">
        <v>37.82</v>
      </c>
      <c r="I30" s="23">
        <f>H30/61.016</f>
        <v>0.6198374196931953</v>
      </c>
      <c r="J30" s="116"/>
      <c r="K30" s="3" t="str">
        <f t="shared" si="1"/>
        <v> </v>
      </c>
      <c r="L30" s="260"/>
      <c r="M30" s="259" t="str">
        <f t="shared" si="3"/>
        <v> </v>
      </c>
    </row>
    <row r="31" spans="1:13" ht="12.75">
      <c r="A31" s="120"/>
      <c r="B31" s="14" t="s">
        <v>3</v>
      </c>
      <c r="C31" s="129" t="s">
        <v>27</v>
      </c>
      <c r="D31" s="116"/>
      <c r="E31" s="3" t="str">
        <f t="shared" si="0"/>
        <v> </v>
      </c>
      <c r="F31" s="2"/>
      <c r="G31" s="120"/>
      <c r="H31" s="14" t="s">
        <v>3</v>
      </c>
      <c r="I31" s="129" t="s">
        <v>27</v>
      </c>
      <c r="J31" s="116"/>
      <c r="K31" s="3" t="str">
        <f t="shared" si="1"/>
        <v> </v>
      </c>
      <c r="L31" s="260"/>
      <c r="M31" s="259" t="str">
        <f t="shared" si="3"/>
        <v> </v>
      </c>
    </row>
    <row r="32" spans="1:13" ht="12.75">
      <c r="A32" s="120" t="s">
        <v>8</v>
      </c>
      <c r="B32" s="126">
        <v>1.36</v>
      </c>
      <c r="C32" s="23">
        <f>B32/0.0558</f>
        <v>24.372759856630825</v>
      </c>
      <c r="D32" s="116">
        <f>(C32-$G$6)/$G$6*100</f>
        <v>62.48506571087217</v>
      </c>
      <c r="E32" s="3" t="str">
        <f t="shared" si="0"/>
        <v>Accumulation</v>
      </c>
      <c r="F32" s="3"/>
      <c r="G32" s="120" t="s">
        <v>8</v>
      </c>
      <c r="H32" s="126">
        <v>1.57</v>
      </c>
      <c r="I32" s="23">
        <f>H32/0.0558</f>
        <v>28.136200716845877</v>
      </c>
      <c r="J32" s="116">
        <f>(I32-$G$6)/$G$6*100</f>
        <v>87.57467144563918</v>
      </c>
      <c r="K32" s="3" t="str">
        <f t="shared" si="1"/>
        <v>Accumulation</v>
      </c>
      <c r="L32" s="260">
        <f>(I32-C32)/G6*100</f>
        <v>25.089605734767012</v>
      </c>
      <c r="M32" s="259" t="str">
        <f t="shared" si="3"/>
        <v>Accumulation</v>
      </c>
    </row>
    <row r="33" spans="1:13" ht="12.75">
      <c r="A33" s="120" t="s">
        <v>10</v>
      </c>
      <c r="B33" s="126">
        <v>0.63</v>
      </c>
      <c r="C33" s="23">
        <f>B33/0.0549</f>
        <v>11.475409836065575</v>
      </c>
      <c r="D33" s="116">
        <f>(C33-$G$7)/$G$7*100</f>
        <v>14.754098360655748</v>
      </c>
      <c r="E33" s="3" t="str">
        <f t="shared" si="0"/>
        <v> </v>
      </c>
      <c r="F33" s="3"/>
      <c r="G33" s="120" t="s">
        <v>10</v>
      </c>
      <c r="H33" s="126">
        <v>0.07</v>
      </c>
      <c r="I33" s="23">
        <f>H33/0.0549</f>
        <v>1.2750455373406195</v>
      </c>
      <c r="J33" s="116">
        <f>(I33-$G$7)/$G$7*100</f>
        <v>-87.2495446265938</v>
      </c>
      <c r="K33" s="3" t="str">
        <f t="shared" si="1"/>
        <v>Manque</v>
      </c>
      <c r="L33" s="260">
        <f>(I33-C33)/G7*100</f>
        <v>-102.00364298724955</v>
      </c>
      <c r="M33" s="259" t="str">
        <f t="shared" si="3"/>
        <v>Consommation</v>
      </c>
    </row>
    <row r="34" spans="1:13" ht="12.75">
      <c r="A34" s="120" t="s">
        <v>12</v>
      </c>
      <c r="B34" s="126">
        <v>0.63</v>
      </c>
      <c r="C34" s="23">
        <f>B34/0.0654</f>
        <v>9.63302752293578</v>
      </c>
      <c r="D34" s="116">
        <f>(C34-$G$8)/$G$8*100</f>
        <v>140.8256880733945</v>
      </c>
      <c r="E34" s="3" t="str">
        <f t="shared" si="0"/>
        <v>Accumulation</v>
      </c>
      <c r="F34" s="3"/>
      <c r="G34" s="120" t="s">
        <v>12</v>
      </c>
      <c r="H34" s="126">
        <v>1.11</v>
      </c>
      <c r="I34" s="23">
        <f>H34/0.0654</f>
        <v>16.972477064220186</v>
      </c>
      <c r="J34" s="116">
        <f>(I34-$G$8)/$G$8*100</f>
        <v>324.31192660550465</v>
      </c>
      <c r="K34" s="3" t="str">
        <f t="shared" si="1"/>
        <v>Accumulation</v>
      </c>
      <c r="L34" s="260">
        <f>(I34-C34)/G8*100</f>
        <v>183.48623853211015</v>
      </c>
      <c r="M34" s="259" t="str">
        <f t="shared" si="3"/>
        <v>Accumulation</v>
      </c>
    </row>
    <row r="35" spans="1:13" ht="12.75">
      <c r="A35" s="120" t="s">
        <v>14</v>
      </c>
      <c r="B35" s="126">
        <v>0.29</v>
      </c>
      <c r="C35" s="23">
        <f>B35/0.0108</f>
        <v>26.851851851851848</v>
      </c>
      <c r="D35" s="116">
        <f>(C35-$G$9)/$G$9*100</f>
        <v>34.25925925925924</v>
      </c>
      <c r="E35" s="3" t="str">
        <f t="shared" si="0"/>
        <v>Accumulation</v>
      </c>
      <c r="F35" s="3"/>
      <c r="G35" s="120" t="s">
        <v>14</v>
      </c>
      <c r="H35" s="126">
        <v>0.61</v>
      </c>
      <c r="I35" s="23">
        <f>H35/0.0108</f>
        <v>56.481481481481474</v>
      </c>
      <c r="J35" s="116">
        <f>(I35-$G$9)/$G$9*100</f>
        <v>182.40740740740736</v>
      </c>
      <c r="K35" s="3" t="str">
        <f t="shared" si="1"/>
        <v>Accumulation</v>
      </c>
      <c r="L35" s="260">
        <f>(I35-C35)/G9*100</f>
        <v>148.14814814814815</v>
      </c>
      <c r="M35" s="259" t="str">
        <f t="shared" si="3"/>
        <v>Accumulation</v>
      </c>
    </row>
    <row r="36" spans="1:13" ht="12.75">
      <c r="A36" s="120" t="s">
        <v>16</v>
      </c>
      <c r="B36" s="126">
        <v>0.13</v>
      </c>
      <c r="C36" s="23">
        <f>B36/0.0635</f>
        <v>2.047244094488189</v>
      </c>
      <c r="D36" s="116">
        <f>(C36-$G$10)/$G$10*100</f>
        <v>172.96587926509187</v>
      </c>
      <c r="E36" s="3" t="str">
        <f t="shared" si="0"/>
        <v>Accumulation</v>
      </c>
      <c r="F36" s="3"/>
      <c r="G36" s="120" t="s">
        <v>16</v>
      </c>
      <c r="H36" s="126">
        <v>0.24</v>
      </c>
      <c r="I36" s="23">
        <f>H36/0.0635</f>
        <v>3.779527559055118</v>
      </c>
      <c r="J36" s="116">
        <f>(I36-$G$10)/$G$10*100</f>
        <v>403.93700787401576</v>
      </c>
      <c r="K36" s="3" t="str">
        <f t="shared" si="1"/>
        <v>Accumulation</v>
      </c>
      <c r="L36" s="260">
        <f>(I36-C36)/G10*100</f>
        <v>230.9711286089239</v>
      </c>
      <c r="M36" s="259" t="str">
        <f t="shared" si="3"/>
        <v>Accumulation</v>
      </c>
    </row>
    <row r="37" spans="1:13" ht="12.75">
      <c r="A37" s="120" t="s">
        <v>18</v>
      </c>
      <c r="B37" s="14"/>
      <c r="C37" s="23"/>
      <c r="D37" s="116"/>
      <c r="E37" s="3"/>
      <c r="F37" s="3"/>
      <c r="G37" s="120" t="s">
        <v>18</v>
      </c>
      <c r="H37" s="14"/>
      <c r="I37" s="23"/>
      <c r="J37" s="116"/>
      <c r="K37" s="3"/>
      <c r="L37" s="258"/>
      <c r="M37" s="259"/>
    </row>
    <row r="38" spans="1:13" ht="13.5" thickBot="1">
      <c r="A38" s="41"/>
      <c r="B38" s="42"/>
      <c r="C38" s="42"/>
      <c r="D38" s="72"/>
      <c r="E38" s="1"/>
      <c r="F38" s="1"/>
      <c r="G38" s="41"/>
      <c r="H38" s="42"/>
      <c r="I38" s="42"/>
      <c r="J38" s="72"/>
      <c r="K38" s="1"/>
      <c r="L38" s="261"/>
      <c r="M38" s="262"/>
    </row>
    <row r="39" spans="1:11" ht="13.5" thickBot="1">
      <c r="A39" s="1"/>
      <c r="B39" s="1"/>
      <c r="C39" s="130" t="s">
        <v>38</v>
      </c>
      <c r="D39" s="1"/>
      <c r="E39" s="1"/>
      <c r="F39" s="1"/>
      <c r="G39" s="1"/>
      <c r="H39" s="1"/>
      <c r="I39" s="130" t="s">
        <v>38</v>
      </c>
      <c r="J39" s="1"/>
      <c r="K39" s="1"/>
    </row>
    <row r="40" spans="1:11" ht="13.5" thickTop="1">
      <c r="A40" s="1"/>
      <c r="B40" s="1"/>
      <c r="C40" s="16">
        <f>(C22+C21+C23+C29+C30)-(C27+C26+C25+C24+C28)</f>
        <v>-0.3815818324195668</v>
      </c>
      <c r="D40" s="1"/>
      <c r="E40" s="1"/>
      <c r="F40" s="1"/>
      <c r="G40" s="1"/>
      <c r="H40" s="1"/>
      <c r="I40" s="16">
        <f>(I22+I21+I23+I29+I30)-(I27+I26+I25+I24+I28)</f>
        <v>-1.5524500604678408</v>
      </c>
      <c r="J40" s="1"/>
      <c r="K40" s="1"/>
    </row>
  </sheetData>
  <mergeCells count="1">
    <mergeCell ref="L17:M17"/>
  </mergeCells>
  <conditionalFormatting sqref="M21:M36">
    <cfRule type="cellIs" priority="1" dxfId="0" operator="equal" stopIfTrue="1">
      <formula>"Consommation"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86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91" zoomScaleNormal="91" workbookViewId="0" topLeftCell="A1">
      <selection activeCell="E4" sqref="E4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3:17" ht="13.5" thickBot="1">
      <c r="C2" s="11" t="s">
        <v>162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194">
        <f>E4+F4</f>
        <v>11.75</v>
      </c>
      <c r="E4" s="180">
        <v>10.75</v>
      </c>
      <c r="F4" s="180">
        <v>1</v>
      </c>
      <c r="G4" s="180">
        <v>1.25</v>
      </c>
      <c r="H4" s="180">
        <v>6.5</v>
      </c>
      <c r="I4" s="180">
        <v>5.5</v>
      </c>
      <c r="J4" s="180">
        <v>2</v>
      </c>
      <c r="K4" s="181">
        <v>3</v>
      </c>
      <c r="L4" s="181">
        <v>0.837</v>
      </c>
      <c r="M4" s="181">
        <v>0.549</v>
      </c>
      <c r="N4" s="181">
        <v>0.262</v>
      </c>
      <c r="O4" s="181">
        <v>0.216</v>
      </c>
      <c r="P4" s="181">
        <v>0.048</v>
      </c>
      <c r="Q4" s="181">
        <v>0.048</v>
      </c>
    </row>
    <row r="5" spans="2:17" ht="12.75">
      <c r="B5" s="195">
        <f>'Apport goutteur 27mai'!B16</f>
        <v>39595</v>
      </c>
      <c r="C5" s="104" t="s">
        <v>57</v>
      </c>
      <c r="D5" s="196"/>
      <c r="E5" s="197">
        <f>'Apport goutteur 27mai'!D21</f>
        <v>15.026337385585043</v>
      </c>
      <c r="F5" s="197">
        <f>'Apport goutteur 27mai'!D24</f>
        <v>46.349575918842476</v>
      </c>
      <c r="G5" s="197">
        <f>'Apport goutteur 27mai'!D22</f>
        <v>35.12096</v>
      </c>
      <c r="H5" s="197">
        <f>'Apport goutteur 27mai'!D25</f>
        <v>42.03483591238694</v>
      </c>
      <c r="I5" s="197">
        <f>'Apport goutteur 27mai'!D26</f>
        <v>22.482308111050628</v>
      </c>
      <c r="J5" s="197">
        <f>'Apport goutteur 27mai'!D27</f>
        <v>44.0032915038058</v>
      </c>
      <c r="K5" s="198">
        <f>'Apport goutteur 27mai'!D23</f>
        <v>69.50528858166068</v>
      </c>
      <c r="L5" s="198">
        <f>'Apport goutteur 27mai'!D32</f>
        <v>62.48506571087217</v>
      </c>
      <c r="M5" s="198">
        <f>'Apport goutteur 27mai'!D33</f>
        <v>14.754098360655748</v>
      </c>
      <c r="N5" s="198">
        <f>'Apport goutteur 27mai'!D34</f>
        <v>140.8256880733945</v>
      </c>
      <c r="O5" s="198">
        <f>'Apport goutteur 27mai'!D35</f>
        <v>34.25925925925924</v>
      </c>
      <c r="P5" s="198">
        <f>'Apport goutteur 27mai'!D36</f>
        <v>172.96587926509187</v>
      </c>
      <c r="Q5" s="198">
        <v>100</v>
      </c>
    </row>
    <row r="6" spans="2:17" ht="12.75">
      <c r="B6" s="45"/>
      <c r="C6" s="105" t="s">
        <v>30</v>
      </c>
      <c r="D6" s="141"/>
      <c r="E6" s="112">
        <v>95</v>
      </c>
      <c r="F6" s="112">
        <v>100</v>
      </c>
      <c r="G6" s="112">
        <v>90</v>
      </c>
      <c r="H6" s="112">
        <v>100</v>
      </c>
      <c r="I6" s="112">
        <v>90</v>
      </c>
      <c r="J6" s="112">
        <v>90</v>
      </c>
      <c r="K6" s="113">
        <v>70</v>
      </c>
      <c r="L6" s="113">
        <v>90</v>
      </c>
      <c r="M6" s="113">
        <v>150</v>
      </c>
      <c r="N6" s="113">
        <v>50</v>
      </c>
      <c r="O6" s="113">
        <v>50</v>
      </c>
      <c r="P6" s="113">
        <v>50</v>
      </c>
      <c r="Q6" s="113">
        <v>100</v>
      </c>
    </row>
    <row r="7" spans="2:17" ht="12.75">
      <c r="B7" s="45"/>
      <c r="C7" s="103" t="s">
        <v>31</v>
      </c>
      <c r="D7" s="199">
        <f>E7+F7</f>
        <v>11.2125</v>
      </c>
      <c r="E7" s="23">
        <f aca="true" t="shared" si="0" ref="E7:Q7">(E4*E6)/100</f>
        <v>10.2125</v>
      </c>
      <c r="F7" s="23">
        <f t="shared" si="0"/>
        <v>1</v>
      </c>
      <c r="G7" s="23">
        <f t="shared" si="0"/>
        <v>1.125</v>
      </c>
      <c r="H7" s="23">
        <f t="shared" si="0"/>
        <v>6.5</v>
      </c>
      <c r="I7" s="23">
        <f t="shared" si="0"/>
        <v>4.95</v>
      </c>
      <c r="J7" s="23">
        <f t="shared" si="0"/>
        <v>1.8</v>
      </c>
      <c r="K7" s="97">
        <f t="shared" si="0"/>
        <v>2.1</v>
      </c>
      <c r="L7" s="97">
        <f t="shared" si="0"/>
        <v>0.7533</v>
      </c>
      <c r="M7" s="97">
        <f t="shared" si="0"/>
        <v>0.8235000000000001</v>
      </c>
      <c r="N7" s="97">
        <f t="shared" si="0"/>
        <v>0.131</v>
      </c>
      <c r="O7" s="97">
        <f t="shared" si="0"/>
        <v>0.10800000000000001</v>
      </c>
      <c r="P7" s="97">
        <f t="shared" si="0"/>
        <v>0.024</v>
      </c>
      <c r="Q7" s="97">
        <f t="shared" si="0"/>
        <v>0.048</v>
      </c>
    </row>
    <row r="8" spans="2:17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0.07</v>
      </c>
      <c r="I8" s="111">
        <v>4.04</v>
      </c>
      <c r="J8" s="111">
        <v>1.47</v>
      </c>
      <c r="K8" s="114">
        <v>2.82</v>
      </c>
      <c r="L8" s="200">
        <v>0.03</v>
      </c>
      <c r="M8" s="200">
        <v>0.01</v>
      </c>
      <c r="N8" s="200">
        <v>0.5</v>
      </c>
      <c r="O8" s="200">
        <v>0.01</v>
      </c>
      <c r="P8" s="200">
        <v>0.01</v>
      </c>
      <c r="Q8" s="155"/>
    </row>
    <row r="9" spans="2:17" ht="12.75">
      <c r="B9" s="45"/>
      <c r="C9" s="103" t="s">
        <v>56</v>
      </c>
      <c r="D9" s="199">
        <f>E9+F9</f>
        <v>10.8925</v>
      </c>
      <c r="E9" s="23">
        <f aca="true" t="shared" si="1" ref="E9:Q9">E7-E8</f>
        <v>9.8925</v>
      </c>
      <c r="F9" s="23">
        <f t="shared" si="1"/>
        <v>1</v>
      </c>
      <c r="G9" s="23">
        <f t="shared" si="1"/>
        <v>1.125</v>
      </c>
      <c r="H9" s="23">
        <f t="shared" si="1"/>
        <v>6.43</v>
      </c>
      <c r="I9" s="23">
        <f t="shared" si="1"/>
        <v>0.9100000000000001</v>
      </c>
      <c r="J9" s="23">
        <f t="shared" si="1"/>
        <v>0.33000000000000007</v>
      </c>
      <c r="K9" s="97">
        <f t="shared" si="1"/>
        <v>-0.7199999999999998</v>
      </c>
      <c r="L9" s="97">
        <f t="shared" si="1"/>
        <v>0.7232999999999999</v>
      </c>
      <c r="M9" s="97">
        <f t="shared" si="1"/>
        <v>0.8135000000000001</v>
      </c>
      <c r="N9" s="97">
        <f t="shared" si="1"/>
        <v>-0.369</v>
      </c>
      <c r="O9" s="97">
        <f t="shared" si="1"/>
        <v>0.09800000000000002</v>
      </c>
      <c r="P9" s="97">
        <f t="shared" si="1"/>
        <v>0.014</v>
      </c>
      <c r="Q9" s="97">
        <f t="shared" si="1"/>
        <v>0.048</v>
      </c>
    </row>
    <row r="10" spans="2:17" ht="13.5" thickBot="1">
      <c r="B10" s="41" t="s">
        <v>75</v>
      </c>
      <c r="C10" s="152" t="s">
        <v>74</v>
      </c>
      <c r="D10" s="201">
        <f>E10+F10</f>
        <v>152.495</v>
      </c>
      <c r="E10" s="153">
        <f>E9*14</f>
        <v>138.495</v>
      </c>
      <c r="F10" s="153">
        <f>F9*14</f>
        <v>14</v>
      </c>
      <c r="G10" s="153">
        <f>G9*71</f>
        <v>79.875</v>
      </c>
      <c r="H10" s="153">
        <f>H9*47</f>
        <v>302.21</v>
      </c>
      <c r="I10" s="153">
        <f>I9*28</f>
        <v>25.480000000000004</v>
      </c>
      <c r="J10" s="153">
        <f>J9*20</f>
        <v>6.600000000000001</v>
      </c>
      <c r="K10" s="154">
        <f>K9*16</f>
        <v>-11.519999999999996</v>
      </c>
      <c r="L10" s="154">
        <f aca="true" t="shared" si="2" ref="L10:Q10">L9</f>
        <v>0.7232999999999999</v>
      </c>
      <c r="M10" s="154">
        <f t="shared" si="2"/>
        <v>0.8135000000000001</v>
      </c>
      <c r="N10" s="154">
        <f t="shared" si="2"/>
        <v>-0.369</v>
      </c>
      <c r="O10" s="154">
        <f t="shared" si="2"/>
        <v>0.09800000000000002</v>
      </c>
      <c r="P10" s="154">
        <f t="shared" si="2"/>
        <v>0.014</v>
      </c>
      <c r="Q10" s="154">
        <f t="shared" si="2"/>
        <v>0.048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>
        <v>1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120</v>
      </c>
      <c r="E15" s="144">
        <f aca="true" t="shared" si="3" ref="E15:J15">E14*10</f>
        <v>101</v>
      </c>
      <c r="F15" s="144">
        <f t="shared" si="3"/>
        <v>19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10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0.84</v>
      </c>
      <c r="C16" s="133" t="s">
        <v>84</v>
      </c>
      <c r="D16" s="140">
        <f>E16+F16</f>
        <v>100.8</v>
      </c>
      <c r="E16" s="131">
        <f aca="true" t="shared" si="5" ref="E16:Q16">E15*$B$16</f>
        <v>84.84</v>
      </c>
      <c r="F16" s="131">
        <f t="shared" si="5"/>
        <v>15.959999999999999</v>
      </c>
      <c r="G16" s="131">
        <f t="shared" si="5"/>
        <v>100.8</v>
      </c>
      <c r="H16" s="131">
        <f t="shared" si="5"/>
        <v>302.4</v>
      </c>
      <c r="I16" s="131">
        <f t="shared" si="5"/>
        <v>0</v>
      </c>
      <c r="J16" s="131">
        <f t="shared" si="5"/>
        <v>8.4</v>
      </c>
      <c r="K16" s="132">
        <f t="shared" si="5"/>
        <v>6.72</v>
      </c>
      <c r="L16" s="132">
        <f t="shared" si="5"/>
        <v>0.5880000000000001</v>
      </c>
      <c r="M16" s="132">
        <f t="shared" si="5"/>
        <v>0.336</v>
      </c>
      <c r="N16" s="132">
        <f t="shared" si="5"/>
        <v>0.21</v>
      </c>
      <c r="O16" s="132">
        <f t="shared" si="5"/>
        <v>0.21</v>
      </c>
      <c r="P16" s="132">
        <f t="shared" si="5"/>
        <v>0.084</v>
      </c>
      <c r="Q16" s="132">
        <f t="shared" si="5"/>
        <v>0.0336</v>
      </c>
    </row>
    <row r="17" spans="2:17" ht="13.5" thickBot="1">
      <c r="B17" s="171"/>
      <c r="C17" s="202"/>
      <c r="D17" s="203">
        <f aca="true" t="shared" si="6" ref="D17:Q17">D16/D10</f>
        <v>0.661005278861602</v>
      </c>
      <c r="E17" s="204">
        <f t="shared" si="6"/>
        <v>0.6125852918877938</v>
      </c>
      <c r="F17" s="204">
        <f t="shared" si="6"/>
        <v>1.14</v>
      </c>
      <c r="G17" s="204">
        <f t="shared" si="6"/>
        <v>1.2619718309859154</v>
      </c>
      <c r="H17" s="204">
        <f t="shared" si="6"/>
        <v>1.0006287018960325</v>
      </c>
      <c r="I17" s="204">
        <f t="shared" si="6"/>
        <v>0</v>
      </c>
      <c r="J17" s="204">
        <f t="shared" si="6"/>
        <v>1.2727272727272725</v>
      </c>
      <c r="K17" s="205">
        <f t="shared" si="6"/>
        <v>-0.5833333333333335</v>
      </c>
      <c r="L17" s="205">
        <f t="shared" si="6"/>
        <v>0.8129406885109914</v>
      </c>
      <c r="M17" s="205">
        <f t="shared" si="6"/>
        <v>0.4130301167793485</v>
      </c>
      <c r="N17" s="205">
        <f t="shared" si="6"/>
        <v>-0.5691056910569106</v>
      </c>
      <c r="O17" s="205">
        <f t="shared" si="6"/>
        <v>2.1428571428571423</v>
      </c>
      <c r="P17" s="205">
        <f t="shared" si="6"/>
        <v>6</v>
      </c>
      <c r="Q17" s="205">
        <f t="shared" si="6"/>
        <v>0.7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>
        <v>0</v>
      </c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0</v>
      </c>
      <c r="K21" s="132">
        <f t="shared" si="9"/>
        <v>0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</v>
      </c>
      <c r="K22" s="148">
        <f t="shared" si="10"/>
        <v>0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</v>
      </c>
      <c r="G24" s="190"/>
      <c r="H24" s="190"/>
      <c r="I24" s="190">
        <v>26.5</v>
      </c>
      <c r="J24" s="190"/>
      <c r="K24" s="191"/>
      <c r="L24" s="191"/>
      <c r="M24" s="191"/>
      <c r="N24" s="191"/>
      <c r="O24" s="191"/>
      <c r="P24" s="191"/>
      <c r="Q24" s="191"/>
    </row>
    <row r="25" spans="2:17" ht="12.75">
      <c r="B25" s="45"/>
      <c r="C25" s="143" t="s">
        <v>85</v>
      </c>
      <c r="D25" s="157">
        <f>E25+F25</f>
        <v>155</v>
      </c>
      <c r="E25" s="144">
        <f aca="true" t="shared" si="11" ref="E25:J25">E24*10</f>
        <v>144</v>
      </c>
      <c r="F25" s="144">
        <f t="shared" si="11"/>
        <v>11</v>
      </c>
      <c r="G25" s="144">
        <f t="shared" si="11"/>
        <v>0</v>
      </c>
      <c r="H25" s="144">
        <f t="shared" si="11"/>
        <v>0</v>
      </c>
      <c r="I25" s="144">
        <f t="shared" si="11"/>
        <v>265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0</v>
      </c>
      <c r="M25" s="145">
        <f t="shared" si="12"/>
        <v>0</v>
      </c>
      <c r="N25" s="145">
        <f t="shared" si="12"/>
        <v>0</v>
      </c>
      <c r="O25" s="145">
        <f t="shared" si="12"/>
        <v>0</v>
      </c>
      <c r="P25" s="145">
        <f t="shared" si="12"/>
        <v>0</v>
      </c>
      <c r="Q25" s="145">
        <f t="shared" si="12"/>
        <v>0</v>
      </c>
    </row>
    <row r="26" spans="2:17" ht="12.75">
      <c r="B26" s="186">
        <v>0.1</v>
      </c>
      <c r="C26" s="133" t="s">
        <v>84</v>
      </c>
      <c r="D26" s="140">
        <f>E26+F26</f>
        <v>15.5</v>
      </c>
      <c r="E26" s="131">
        <f aca="true" t="shared" si="13" ref="E26:Q26">E25*$B$26</f>
        <v>14.4</v>
      </c>
      <c r="F26" s="131">
        <f t="shared" si="13"/>
        <v>1.1</v>
      </c>
      <c r="G26" s="131">
        <f t="shared" si="13"/>
        <v>0</v>
      </c>
      <c r="H26" s="131">
        <f t="shared" si="13"/>
        <v>0</v>
      </c>
      <c r="I26" s="131">
        <f t="shared" si="13"/>
        <v>26.5</v>
      </c>
      <c r="J26" s="131">
        <f t="shared" si="13"/>
        <v>0</v>
      </c>
      <c r="K26" s="132">
        <f t="shared" si="13"/>
        <v>0</v>
      </c>
      <c r="L26" s="132">
        <f t="shared" si="13"/>
        <v>0</v>
      </c>
      <c r="M26" s="132">
        <f t="shared" si="13"/>
        <v>0</v>
      </c>
      <c r="N26" s="132">
        <f t="shared" si="13"/>
        <v>0</v>
      </c>
      <c r="O26" s="132">
        <f t="shared" si="13"/>
        <v>0</v>
      </c>
      <c r="P26" s="132">
        <f t="shared" si="13"/>
        <v>0</v>
      </c>
      <c r="Q26" s="132">
        <f t="shared" si="13"/>
        <v>0</v>
      </c>
    </row>
    <row r="27" spans="2:17" ht="13.5" thickBot="1">
      <c r="B27" s="41"/>
      <c r="C27" s="146"/>
      <c r="D27" s="158">
        <f aca="true" t="shared" si="14" ref="D27:Q27">D26/D10</f>
        <v>0.10164267680907571</v>
      </c>
      <c r="E27" s="147">
        <f t="shared" si="14"/>
        <v>0.10397487273908805</v>
      </c>
      <c r="F27" s="147">
        <f t="shared" si="14"/>
        <v>0.07857142857142858</v>
      </c>
      <c r="G27" s="147">
        <f t="shared" si="14"/>
        <v>0</v>
      </c>
      <c r="H27" s="147">
        <f t="shared" si="14"/>
        <v>0</v>
      </c>
      <c r="I27" s="147">
        <f t="shared" si="14"/>
        <v>1.040031397174254</v>
      </c>
      <c r="J27" s="147">
        <f t="shared" si="14"/>
        <v>0</v>
      </c>
      <c r="K27" s="148">
        <f t="shared" si="14"/>
        <v>0</v>
      </c>
      <c r="L27" s="148">
        <f t="shared" si="14"/>
        <v>0</v>
      </c>
      <c r="M27" s="148">
        <f t="shared" si="14"/>
        <v>0</v>
      </c>
      <c r="N27" s="148">
        <f t="shared" si="14"/>
        <v>0</v>
      </c>
      <c r="O27" s="148">
        <f t="shared" si="14"/>
        <v>0</v>
      </c>
      <c r="P27" s="148">
        <f t="shared" si="14"/>
        <v>0</v>
      </c>
      <c r="Q27" s="148">
        <f t="shared" si="14"/>
        <v>0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108</v>
      </c>
      <c r="C29" s="150" t="s">
        <v>73</v>
      </c>
      <c r="D29" s="160">
        <f>E29+F29</f>
        <v>0</v>
      </c>
      <c r="E29" s="190"/>
      <c r="F29" s="190"/>
      <c r="G29" s="190"/>
      <c r="H29" s="190"/>
      <c r="I29" s="190"/>
      <c r="J29" s="190"/>
      <c r="K29" s="191"/>
      <c r="L29" s="191">
        <v>10</v>
      </c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0</v>
      </c>
      <c r="E30" s="144">
        <f aca="true" t="shared" si="15" ref="E30:J30">E29*10</f>
        <v>0</v>
      </c>
      <c r="F30" s="144">
        <f t="shared" si="15"/>
        <v>0</v>
      </c>
      <c r="G30" s="144">
        <f t="shared" si="15"/>
        <v>0</v>
      </c>
      <c r="H30" s="144">
        <f t="shared" si="15"/>
        <v>0</v>
      </c>
      <c r="I30" s="144">
        <f t="shared" si="15"/>
        <v>0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100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0.0014</v>
      </c>
      <c r="C31" s="133" t="s">
        <v>84</v>
      </c>
      <c r="D31" s="140">
        <f>E31+F31</f>
        <v>0</v>
      </c>
      <c r="E31" s="131">
        <f aca="true" t="shared" si="17" ref="E31:Q31">E30*$B$31</f>
        <v>0</v>
      </c>
      <c r="F31" s="131">
        <f t="shared" si="17"/>
        <v>0</v>
      </c>
      <c r="G31" s="131">
        <f t="shared" si="17"/>
        <v>0</v>
      </c>
      <c r="H31" s="131">
        <f t="shared" si="17"/>
        <v>0</v>
      </c>
      <c r="I31" s="131">
        <f t="shared" si="17"/>
        <v>0</v>
      </c>
      <c r="J31" s="131">
        <f t="shared" si="17"/>
        <v>0</v>
      </c>
      <c r="K31" s="132">
        <f t="shared" si="17"/>
        <v>0</v>
      </c>
      <c r="L31" s="132">
        <f t="shared" si="17"/>
        <v>0.13999999999999999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</v>
      </c>
      <c r="E32" s="147">
        <f t="shared" si="18"/>
        <v>0</v>
      </c>
      <c r="F32" s="147">
        <f t="shared" si="18"/>
        <v>0</v>
      </c>
      <c r="G32" s="147">
        <f t="shared" si="18"/>
        <v>0</v>
      </c>
      <c r="H32" s="147">
        <f t="shared" si="18"/>
        <v>0</v>
      </c>
      <c r="I32" s="147">
        <f t="shared" si="18"/>
        <v>0</v>
      </c>
      <c r="J32" s="147">
        <f t="shared" si="18"/>
        <v>0</v>
      </c>
      <c r="K32" s="148">
        <f t="shared" si="18"/>
        <v>0</v>
      </c>
      <c r="L32" s="148">
        <f t="shared" si="18"/>
        <v>0.19355730678833125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2:17" ht="14.25"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1:17" ht="12.75">
      <c r="A34" s="1" t="s">
        <v>109</v>
      </c>
      <c r="B34" s="189" t="s">
        <v>147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/>
      <c r="M34" s="191">
        <v>33</v>
      </c>
      <c r="N34" s="191"/>
      <c r="O34" s="191"/>
      <c r="P34" s="191"/>
      <c r="Q34" s="191"/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0</v>
      </c>
      <c r="M35" s="145">
        <f t="shared" si="20"/>
        <v>330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2:17" ht="12.75">
      <c r="B36" s="186">
        <v>0.0015</v>
      </c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0.495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0.6084818684695759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1:17" ht="14.25">
      <c r="A38" s="1" t="s">
        <v>164</v>
      </c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165</v>
      </c>
      <c r="C40" s="151" t="s">
        <v>76</v>
      </c>
      <c r="D40" s="161">
        <f aca="true" t="shared" si="23" ref="D40:Q40">D16+D26+D39+D21+D31+D36</f>
        <v>156.85999999999999</v>
      </c>
      <c r="E40" s="162">
        <f t="shared" si="23"/>
        <v>139.8</v>
      </c>
      <c r="F40" s="162">
        <f t="shared" si="23"/>
        <v>17.06</v>
      </c>
      <c r="G40" s="162">
        <f t="shared" si="23"/>
        <v>100.8</v>
      </c>
      <c r="H40" s="162">
        <f t="shared" si="23"/>
        <v>302.4</v>
      </c>
      <c r="I40" s="162">
        <f t="shared" si="23"/>
        <v>26.5</v>
      </c>
      <c r="J40" s="162">
        <f t="shared" si="23"/>
        <v>8.4</v>
      </c>
      <c r="K40" s="162">
        <f t="shared" si="23"/>
        <v>6.72</v>
      </c>
      <c r="L40" s="161">
        <f t="shared" si="23"/>
        <v>0.7280000000000001</v>
      </c>
      <c r="M40" s="161">
        <f t="shared" si="23"/>
        <v>0.831</v>
      </c>
      <c r="N40" s="161">
        <f t="shared" si="23"/>
        <v>0.21</v>
      </c>
      <c r="O40" s="161">
        <f t="shared" si="23"/>
        <v>0.21</v>
      </c>
      <c r="P40" s="161">
        <f t="shared" si="23"/>
        <v>0.084</v>
      </c>
      <c r="Q40" s="161">
        <f t="shared" si="23"/>
        <v>0.0336</v>
      </c>
    </row>
    <row r="41" spans="2:17" ht="13.5" thickBot="1">
      <c r="B41" s="41"/>
      <c r="C41" s="42"/>
      <c r="D41" s="158">
        <f aca="true" t="shared" si="24" ref="D41:Q41">D40/D10</f>
        <v>1.028623889307846</v>
      </c>
      <c r="E41" s="147">
        <f t="shared" si="24"/>
        <v>1.0094227228419799</v>
      </c>
      <c r="F41" s="147">
        <f t="shared" si="24"/>
        <v>1.2185714285714284</v>
      </c>
      <c r="G41" s="147">
        <f t="shared" si="24"/>
        <v>1.2619718309859154</v>
      </c>
      <c r="H41" s="147">
        <f t="shared" si="24"/>
        <v>1.0006287018960325</v>
      </c>
      <c r="I41" s="147">
        <f t="shared" si="24"/>
        <v>1.040031397174254</v>
      </c>
      <c r="J41" s="147">
        <f t="shared" si="24"/>
        <v>1.2727272727272725</v>
      </c>
      <c r="K41" s="148">
        <f t="shared" si="24"/>
        <v>-0.5833333333333335</v>
      </c>
      <c r="L41" s="148">
        <f t="shared" si="24"/>
        <v>1.0064979952993227</v>
      </c>
      <c r="M41" s="148">
        <f t="shared" si="24"/>
        <v>1.0215119852489243</v>
      </c>
      <c r="N41" s="148">
        <f t="shared" si="24"/>
        <v>-0.5691056910569106</v>
      </c>
      <c r="O41" s="148">
        <f t="shared" si="24"/>
        <v>2.1428571428571423</v>
      </c>
      <c r="P41" s="148">
        <f t="shared" si="24"/>
        <v>6</v>
      </c>
      <c r="Q41" s="148">
        <f t="shared" si="24"/>
        <v>0.7</v>
      </c>
    </row>
    <row r="43" spans="8:15" ht="13.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2:15" ht="18.75" thickBot="1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ht="13.5" thickBot="1">
      <c r="E45" s="174" t="s">
        <v>100</v>
      </c>
    </row>
    <row r="46" spans="2:13" ht="12.75">
      <c r="B46" s="115"/>
      <c r="C46" s="106" t="s">
        <v>96</v>
      </c>
      <c r="D46" s="216" t="s">
        <v>97</v>
      </c>
      <c r="E46" s="192">
        <v>50</v>
      </c>
      <c r="F46" s="175" t="s">
        <v>101</v>
      </c>
      <c r="G46" s="107" t="s">
        <v>98</v>
      </c>
      <c r="H46" s="107" t="s">
        <v>24</v>
      </c>
      <c r="J46" s="123" t="s">
        <v>34</v>
      </c>
      <c r="K46" s="106" t="s">
        <v>105</v>
      </c>
      <c r="L46" s="292"/>
      <c r="M46" s="293"/>
    </row>
    <row r="47" spans="2:13" ht="12.75">
      <c r="B47" s="170" t="s">
        <v>95</v>
      </c>
      <c r="C47" s="167" t="str">
        <f>B14</f>
        <v>Kristalon rouge</v>
      </c>
      <c r="D47" s="217">
        <v>11</v>
      </c>
      <c r="E47" s="176">
        <f aca="true" t="shared" si="25" ref="E47:E52">D47*$E$46/100</f>
        <v>5.5</v>
      </c>
      <c r="F47" s="177" t="s">
        <v>102</v>
      </c>
      <c r="G47" s="173">
        <f>B16/D47*10</f>
        <v>0.7636363636363636</v>
      </c>
      <c r="H47" s="173">
        <f>(B16+B26+B21)/0.8</f>
        <v>1.1749999999999998</v>
      </c>
      <c r="J47" s="268">
        <f>(H40/47+H8)/(I40/28+I8)</f>
        <v>1.3043488861865185</v>
      </c>
      <c r="K47" s="23">
        <f>(H40/47+H8)/((I40/28+I8)+(J40/20+J8))</f>
        <v>0.9458460137600587</v>
      </c>
      <c r="L47" s="289" t="s">
        <v>111</v>
      </c>
      <c r="M47" s="289"/>
    </row>
    <row r="48" spans="2:13" ht="13.5" thickBot="1">
      <c r="B48" s="45"/>
      <c r="C48" s="13" t="str">
        <f>B29</f>
        <v>Fer</v>
      </c>
      <c r="D48" s="220">
        <f>B31*100/G47/10</f>
        <v>0.018333333333333333</v>
      </c>
      <c r="E48" s="221">
        <f t="shared" si="25"/>
        <v>0.009166666666666667</v>
      </c>
      <c r="F48" s="222"/>
      <c r="G48" s="223"/>
      <c r="H48" s="223"/>
      <c r="J48" s="27">
        <v>1.18</v>
      </c>
      <c r="K48" s="14">
        <v>0.87</v>
      </c>
      <c r="L48" s="288" t="s">
        <v>112</v>
      </c>
      <c r="M48" s="289"/>
    </row>
    <row r="49" spans="2:13" ht="13.5" thickBot="1">
      <c r="B49" s="171"/>
      <c r="C49" s="168" t="str">
        <f>B19</f>
        <v>Sulfate de magnésie</v>
      </c>
      <c r="D49" s="218">
        <f>B21*100/G47/10</f>
        <v>0</v>
      </c>
      <c r="E49" s="219">
        <f t="shared" si="25"/>
        <v>0</v>
      </c>
      <c r="F49" s="178"/>
      <c r="G49" s="172"/>
      <c r="H49" s="172"/>
      <c r="J49" s="123" t="s">
        <v>24</v>
      </c>
      <c r="K49" s="106" t="s">
        <v>1</v>
      </c>
      <c r="L49" s="276"/>
      <c r="M49" s="267"/>
    </row>
    <row r="50" spans="2:13" ht="12.75">
      <c r="B50" s="170" t="s">
        <v>99</v>
      </c>
      <c r="C50" s="167" t="str">
        <f>B24</f>
        <v>Nitrate de calcium</v>
      </c>
      <c r="D50" s="217">
        <v>5.5</v>
      </c>
      <c r="E50" s="176">
        <f t="shared" si="25"/>
        <v>2.75</v>
      </c>
      <c r="F50" s="177" t="s">
        <v>102</v>
      </c>
      <c r="G50" s="173">
        <f>B26/D50*10</f>
        <v>0.18181818181818185</v>
      </c>
      <c r="J50" s="27" t="s">
        <v>166</v>
      </c>
      <c r="K50" s="14" t="s">
        <v>149</v>
      </c>
      <c r="L50" s="289" t="s">
        <v>113</v>
      </c>
      <c r="M50" s="289"/>
    </row>
    <row r="51" spans="2:13" ht="13.5" thickBot="1">
      <c r="B51" s="45"/>
      <c r="C51" s="13" t="str">
        <f>B34</f>
        <v>Sulfate de Mn</v>
      </c>
      <c r="D51" s="220">
        <f>B36*100/G50/10</f>
        <v>0.08249999999999999</v>
      </c>
      <c r="E51" s="221">
        <f t="shared" si="25"/>
        <v>0.04124999999999999</v>
      </c>
      <c r="F51" s="222"/>
      <c r="G51" s="223"/>
      <c r="J51" s="49" t="s">
        <v>167</v>
      </c>
      <c r="K51" s="50"/>
      <c r="L51" s="290" t="s">
        <v>114</v>
      </c>
      <c r="M51" s="291"/>
    </row>
    <row r="52" spans="2:10" ht="14.25" thickBot="1">
      <c r="B52" s="41"/>
      <c r="C52" s="42" t="str">
        <f>B38</f>
        <v>Acide nitrique 60 %</v>
      </c>
      <c r="D52" s="218">
        <f>B39*100/G50/1000</f>
        <v>14.299999999999999</v>
      </c>
      <c r="E52" s="219">
        <f t="shared" si="25"/>
        <v>7.15</v>
      </c>
      <c r="F52" s="179" t="s">
        <v>101</v>
      </c>
      <c r="G52" s="72"/>
      <c r="J52" s="277"/>
    </row>
  </sheetData>
  <sheetProtection password="8669" sheet="1" objects="1" scenarios="1"/>
  <mergeCells count="9">
    <mergeCell ref="C1:K1"/>
    <mergeCell ref="L46:M46"/>
    <mergeCell ref="L47:M47"/>
    <mergeCell ref="H43:O43"/>
    <mergeCell ref="I44:O44"/>
    <mergeCell ref="L48:M48"/>
    <mergeCell ref="L50:M50"/>
    <mergeCell ref="L51:M51"/>
    <mergeCell ref="L2:Q2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5" r:id="rId3"/>
  <headerFooter alignWithMargins="0">
    <oddFooter>&amp;L&amp;"Arial,Normal"&amp;8VG/&amp;F/&amp;A&amp;RChâteauneuf&amp;D</oddFooter>
  </headerFooter>
  <legacyDrawing r:id="rId2"/>
  <oleObjects>
    <oleObject progId="Word.Picture.8" shapeId="117305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91" zoomScaleNormal="91" workbookViewId="0" topLeftCell="A1">
      <selection activeCell="G5" sqref="G5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11" t="s">
        <v>144</v>
      </c>
      <c r="D1" s="11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7" ht="13.5" thickBot="1">
      <c r="C2" s="11" t="s">
        <v>121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225">
        <f>E4+F4</f>
        <v>12.85</v>
      </c>
      <c r="E4" s="180">
        <v>11.75</v>
      </c>
      <c r="F4" s="180">
        <v>1.1</v>
      </c>
      <c r="G4" s="180">
        <v>1.25</v>
      </c>
      <c r="H4" s="180">
        <v>6.5</v>
      </c>
      <c r="I4" s="180">
        <v>5.5</v>
      </c>
      <c r="J4" s="180">
        <v>2</v>
      </c>
      <c r="K4" s="181">
        <v>2</v>
      </c>
      <c r="L4" s="181">
        <v>0.837</v>
      </c>
      <c r="M4" s="181">
        <v>0.549</v>
      </c>
      <c r="N4" s="181">
        <v>0.327</v>
      </c>
      <c r="O4" s="181">
        <v>0.27</v>
      </c>
      <c r="P4" s="181">
        <v>0.048</v>
      </c>
      <c r="Q4" s="181">
        <v>0.048</v>
      </c>
    </row>
    <row r="5" spans="2:17" ht="12.75">
      <c r="B5" s="195">
        <v>38940</v>
      </c>
      <c r="C5" s="104" t="s">
        <v>57</v>
      </c>
      <c r="D5" s="196"/>
      <c r="E5" s="197">
        <v>-15.338799999999999</v>
      </c>
      <c r="F5" s="197">
        <v>-4.785511659840334</v>
      </c>
      <c r="G5" s="197">
        <v>2.023819438660783</v>
      </c>
      <c r="H5" s="197">
        <v>-3.828706223915807</v>
      </c>
      <c r="I5" s="197">
        <v>31.248714256325847</v>
      </c>
      <c r="J5" s="197">
        <v>0</v>
      </c>
      <c r="K5" s="198">
        <v>41.748433948666765</v>
      </c>
      <c r="L5" s="198">
        <v>-43.533697632058285</v>
      </c>
      <c r="M5" s="198">
        <v>-48.01223241590214</v>
      </c>
      <c r="N5" s="198">
        <v>94.44444444444443</v>
      </c>
      <c r="O5" s="198">
        <v>130.9711286089239</v>
      </c>
      <c r="P5" s="198">
        <v>0</v>
      </c>
      <c r="Q5" s="198"/>
    </row>
    <row r="6" spans="2:17" ht="12.75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85</v>
      </c>
      <c r="J6" s="112">
        <v>100</v>
      </c>
      <c r="K6" s="113">
        <v>80</v>
      </c>
      <c r="L6" s="113">
        <v>125</v>
      </c>
      <c r="M6" s="113">
        <v>125</v>
      </c>
      <c r="N6" s="113">
        <v>50</v>
      </c>
      <c r="O6" s="113">
        <v>40</v>
      </c>
      <c r="P6" s="113">
        <v>100</v>
      </c>
      <c r="Q6" s="113">
        <v>100</v>
      </c>
    </row>
    <row r="7" spans="2:17" ht="12.75">
      <c r="B7" s="45"/>
      <c r="C7" s="103" t="s">
        <v>31</v>
      </c>
      <c r="D7" s="199">
        <f>E7+F7</f>
        <v>12.85</v>
      </c>
      <c r="E7" s="23">
        <f aca="true" t="shared" si="0" ref="E7:Q7">(E4*E6)/100</f>
        <v>11.75</v>
      </c>
      <c r="F7" s="23">
        <f t="shared" si="0"/>
        <v>1.1</v>
      </c>
      <c r="G7" s="23">
        <f t="shared" si="0"/>
        <v>1.25</v>
      </c>
      <c r="H7" s="23">
        <f t="shared" si="0"/>
        <v>6.5</v>
      </c>
      <c r="I7" s="23">
        <f t="shared" si="0"/>
        <v>4.675</v>
      </c>
      <c r="J7" s="23">
        <f t="shared" si="0"/>
        <v>2</v>
      </c>
      <c r="K7" s="97">
        <f t="shared" si="0"/>
        <v>1.6</v>
      </c>
      <c r="L7" s="97">
        <f t="shared" si="0"/>
        <v>1.04625</v>
      </c>
      <c r="M7" s="97">
        <f t="shared" si="0"/>
        <v>0.68625</v>
      </c>
      <c r="N7" s="97">
        <f t="shared" si="0"/>
        <v>0.1635</v>
      </c>
      <c r="O7" s="97">
        <f t="shared" si="0"/>
        <v>0.10800000000000001</v>
      </c>
      <c r="P7" s="97">
        <f t="shared" si="0"/>
        <v>0.048</v>
      </c>
      <c r="Q7" s="97">
        <f t="shared" si="0"/>
        <v>0.048</v>
      </c>
    </row>
    <row r="8" spans="2:17" ht="12.75">
      <c r="B8" s="45"/>
      <c r="C8" s="118" t="s">
        <v>32</v>
      </c>
      <c r="D8" s="155">
        <f>E8+F8</f>
        <v>0.33</v>
      </c>
      <c r="E8" s="111">
        <v>0.32</v>
      </c>
      <c r="F8" s="111">
        <v>0.01</v>
      </c>
      <c r="G8" s="111">
        <v>0</v>
      </c>
      <c r="H8" s="111">
        <v>0.08</v>
      </c>
      <c r="I8" s="111">
        <v>2.02</v>
      </c>
      <c r="J8" s="111">
        <v>0.69</v>
      </c>
      <c r="K8" s="114">
        <v>0.79</v>
      </c>
      <c r="L8" s="200">
        <v>0.01</v>
      </c>
      <c r="M8" s="200">
        <v>0</v>
      </c>
      <c r="N8" s="200">
        <v>0.07</v>
      </c>
      <c r="O8" s="200">
        <v>0.1</v>
      </c>
      <c r="P8" s="200">
        <v>0</v>
      </c>
      <c r="Q8" s="155"/>
    </row>
    <row r="9" spans="2:17" ht="12.75">
      <c r="B9" s="45"/>
      <c r="C9" s="103" t="s">
        <v>56</v>
      </c>
      <c r="D9" s="199">
        <f>E9+F9</f>
        <v>12.52</v>
      </c>
      <c r="E9" s="23">
        <f aca="true" t="shared" si="1" ref="E9:Q9">E7-E8</f>
        <v>11.43</v>
      </c>
      <c r="F9" s="23">
        <f t="shared" si="1"/>
        <v>1.09</v>
      </c>
      <c r="G9" s="23">
        <f t="shared" si="1"/>
        <v>1.25</v>
      </c>
      <c r="H9" s="23">
        <f t="shared" si="1"/>
        <v>6.42</v>
      </c>
      <c r="I9" s="23">
        <f t="shared" si="1"/>
        <v>2.655</v>
      </c>
      <c r="J9" s="23">
        <f t="shared" si="1"/>
        <v>1.31</v>
      </c>
      <c r="K9" s="97">
        <f t="shared" si="1"/>
        <v>0.81</v>
      </c>
      <c r="L9" s="97">
        <f t="shared" si="1"/>
        <v>1.03625</v>
      </c>
      <c r="M9" s="97">
        <f t="shared" si="1"/>
        <v>0.68625</v>
      </c>
      <c r="N9" s="97">
        <f t="shared" si="1"/>
        <v>0.0935</v>
      </c>
      <c r="O9" s="97">
        <f t="shared" si="1"/>
        <v>0.008000000000000007</v>
      </c>
      <c r="P9" s="97">
        <f t="shared" si="1"/>
        <v>0.048</v>
      </c>
      <c r="Q9" s="97">
        <f t="shared" si="1"/>
        <v>0.048</v>
      </c>
    </row>
    <row r="10" spans="2:17" ht="13.5" thickBot="1">
      <c r="B10" s="41" t="s">
        <v>75</v>
      </c>
      <c r="C10" s="152" t="s">
        <v>74</v>
      </c>
      <c r="D10" s="201">
        <f>E10+F10</f>
        <v>175.27999999999997</v>
      </c>
      <c r="E10" s="153">
        <f>E9*14</f>
        <v>160.01999999999998</v>
      </c>
      <c r="F10" s="153">
        <f>F9*14</f>
        <v>15.260000000000002</v>
      </c>
      <c r="G10" s="153">
        <f>G9*71</f>
        <v>88.75</v>
      </c>
      <c r="H10" s="153">
        <f>H9*47</f>
        <v>301.74</v>
      </c>
      <c r="I10" s="153">
        <f>I9*28</f>
        <v>74.33999999999999</v>
      </c>
      <c r="J10" s="153">
        <f>J9*20</f>
        <v>26.200000000000003</v>
      </c>
      <c r="K10" s="154">
        <f>K9*16</f>
        <v>12.96</v>
      </c>
      <c r="L10" s="154">
        <f aca="true" t="shared" si="2" ref="L10:Q10">L9</f>
        <v>1.03625</v>
      </c>
      <c r="M10" s="154">
        <f t="shared" si="2"/>
        <v>0.68625</v>
      </c>
      <c r="N10" s="154">
        <f t="shared" si="2"/>
        <v>0.0935</v>
      </c>
      <c r="O10" s="154">
        <f t="shared" si="2"/>
        <v>0.008000000000000007</v>
      </c>
      <c r="P10" s="154">
        <f t="shared" si="2"/>
        <v>0.048</v>
      </c>
      <c r="Q10" s="154">
        <f t="shared" si="2"/>
        <v>0.048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60</v>
      </c>
      <c r="E15" s="144">
        <f aca="true" t="shared" si="3" ref="E15:J15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0.83</v>
      </c>
      <c r="C16" s="133" t="s">
        <v>84</v>
      </c>
      <c r="D16" s="140">
        <f>E16+F16</f>
        <v>49.8</v>
      </c>
      <c r="E16" s="131">
        <f aca="true" t="shared" si="5" ref="E16:Q16">E15*$B$16</f>
        <v>37.35</v>
      </c>
      <c r="F16" s="131">
        <f t="shared" si="5"/>
        <v>12.45</v>
      </c>
      <c r="G16" s="131">
        <f t="shared" si="5"/>
        <v>99.6</v>
      </c>
      <c r="H16" s="131">
        <f t="shared" si="5"/>
        <v>298.8</v>
      </c>
      <c r="I16" s="131">
        <f t="shared" si="5"/>
        <v>0</v>
      </c>
      <c r="J16" s="131">
        <f t="shared" si="5"/>
        <v>24.9</v>
      </c>
      <c r="K16" s="132">
        <f t="shared" si="5"/>
        <v>6.64</v>
      </c>
      <c r="L16" s="132">
        <f t="shared" si="5"/>
        <v>0.5810000000000001</v>
      </c>
      <c r="M16" s="132">
        <f t="shared" si="5"/>
        <v>0.332</v>
      </c>
      <c r="N16" s="132">
        <f t="shared" si="5"/>
        <v>0.2075</v>
      </c>
      <c r="O16" s="132">
        <f t="shared" si="5"/>
        <v>0.2075</v>
      </c>
      <c r="P16" s="132">
        <f t="shared" si="5"/>
        <v>0.083</v>
      </c>
      <c r="Q16" s="132">
        <f t="shared" si="5"/>
        <v>0.0332</v>
      </c>
    </row>
    <row r="17" spans="2:17" ht="13.5" thickBot="1">
      <c r="B17" s="171"/>
      <c r="C17" s="202"/>
      <c r="D17" s="203">
        <f aca="true" t="shared" si="6" ref="D17:Q17">D16/D10</f>
        <v>0.28411684162482886</v>
      </c>
      <c r="E17" s="204">
        <f t="shared" si="6"/>
        <v>0.2334083239595051</v>
      </c>
      <c r="F17" s="204">
        <f t="shared" si="6"/>
        <v>0.8158584534731322</v>
      </c>
      <c r="G17" s="204">
        <f t="shared" si="6"/>
        <v>1.1222535211267606</v>
      </c>
      <c r="H17" s="204">
        <f t="shared" si="6"/>
        <v>0.9902565122290714</v>
      </c>
      <c r="I17" s="204">
        <f t="shared" si="6"/>
        <v>0</v>
      </c>
      <c r="J17" s="204">
        <f t="shared" si="6"/>
        <v>0.9503816793893128</v>
      </c>
      <c r="K17" s="205">
        <f t="shared" si="6"/>
        <v>0.5123456790123456</v>
      </c>
      <c r="L17" s="205">
        <f t="shared" si="6"/>
        <v>0.5606755126658626</v>
      </c>
      <c r="M17" s="205">
        <f t="shared" si="6"/>
        <v>0.4837887067395264</v>
      </c>
      <c r="N17" s="205">
        <f t="shared" si="6"/>
        <v>2.2192513368983957</v>
      </c>
      <c r="O17" s="205">
        <f t="shared" si="6"/>
        <v>25.937499999999975</v>
      </c>
      <c r="P17" s="205">
        <f t="shared" si="6"/>
        <v>1.7291666666666667</v>
      </c>
      <c r="Q17" s="205">
        <f t="shared" si="6"/>
        <v>0.6916666666666667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/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0</v>
      </c>
      <c r="K21" s="132">
        <f t="shared" si="9"/>
        <v>0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</v>
      </c>
      <c r="K22" s="148">
        <f t="shared" si="10"/>
        <v>0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189" t="s">
        <v>108</v>
      </c>
      <c r="C24" s="150" t="s">
        <v>73</v>
      </c>
      <c r="D24" s="160">
        <f>E24+F24</f>
        <v>0</v>
      </c>
      <c r="E24" s="190"/>
      <c r="F24" s="190"/>
      <c r="G24" s="190"/>
      <c r="H24" s="190"/>
      <c r="I24" s="190"/>
      <c r="J24" s="190"/>
      <c r="K24" s="191"/>
      <c r="L24" s="191">
        <v>10</v>
      </c>
      <c r="M24" s="191"/>
      <c r="N24" s="191"/>
      <c r="O24" s="191"/>
      <c r="P24" s="191"/>
      <c r="Q24" s="191"/>
    </row>
    <row r="25" spans="2:17" ht="12.75">
      <c r="B25" s="45"/>
      <c r="C25" s="143" t="s">
        <v>85</v>
      </c>
      <c r="D25" s="157">
        <f>E25+F25</f>
        <v>0</v>
      </c>
      <c r="E25" s="144">
        <f aca="true" t="shared" si="11" ref="E25:J25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100</v>
      </c>
      <c r="M25" s="145">
        <f t="shared" si="12"/>
        <v>0</v>
      </c>
      <c r="N25" s="145">
        <f t="shared" si="12"/>
        <v>0</v>
      </c>
      <c r="O25" s="145">
        <f t="shared" si="12"/>
        <v>0</v>
      </c>
      <c r="P25" s="145">
        <f t="shared" si="12"/>
        <v>0</v>
      </c>
      <c r="Q25" s="145">
        <f t="shared" si="12"/>
        <v>0</v>
      </c>
    </row>
    <row r="26" spans="2:17" ht="12.75">
      <c r="B26" s="186">
        <v>0</v>
      </c>
      <c r="C26" s="133" t="s">
        <v>84</v>
      </c>
      <c r="D26" s="140">
        <f>E26+F26</f>
        <v>0</v>
      </c>
      <c r="E26" s="131">
        <f aca="true" t="shared" si="13" ref="E26:Q26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</v>
      </c>
      <c r="M26" s="132">
        <f t="shared" si="13"/>
        <v>0</v>
      </c>
      <c r="N26" s="132">
        <f t="shared" si="13"/>
        <v>0</v>
      </c>
      <c r="O26" s="132">
        <f t="shared" si="13"/>
        <v>0</v>
      </c>
      <c r="P26" s="132">
        <f t="shared" si="13"/>
        <v>0</v>
      </c>
      <c r="Q26" s="132">
        <f t="shared" si="13"/>
        <v>0</v>
      </c>
    </row>
    <row r="27" spans="2:17" ht="13.5" thickBot="1">
      <c r="B27" s="41"/>
      <c r="C27" s="146"/>
      <c r="D27" s="158">
        <f aca="true" t="shared" si="14" ref="D27:Q27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</v>
      </c>
      <c r="M27" s="148">
        <f t="shared" si="14"/>
        <v>0</v>
      </c>
      <c r="N27" s="148">
        <f t="shared" si="14"/>
        <v>0</v>
      </c>
      <c r="O27" s="148">
        <f t="shared" si="14"/>
        <v>0</v>
      </c>
      <c r="P27" s="148">
        <f t="shared" si="14"/>
        <v>0</v>
      </c>
      <c r="Q27" s="148">
        <f t="shared" si="14"/>
        <v>0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155</v>
      </c>
      <c r="E30" s="144">
        <f aca="true" t="shared" si="15" ref="E30:J30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0.36</v>
      </c>
      <c r="C31" s="133" t="s">
        <v>84</v>
      </c>
      <c r="D31" s="140">
        <f>E31+F31</f>
        <v>55.8</v>
      </c>
      <c r="E31" s="131">
        <f aca="true" t="shared" si="17" ref="E31:Q31">E30*$B$31</f>
        <v>51.839999999999996</v>
      </c>
      <c r="F31" s="131">
        <f t="shared" si="17"/>
        <v>3.96</v>
      </c>
      <c r="G31" s="131">
        <f t="shared" si="17"/>
        <v>0</v>
      </c>
      <c r="H31" s="131">
        <f t="shared" si="17"/>
        <v>0</v>
      </c>
      <c r="I31" s="131">
        <f t="shared" si="17"/>
        <v>95.39999999999999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0.31834778639890465</v>
      </c>
      <c r="E32" s="147">
        <f t="shared" si="18"/>
        <v>0.32395950506186727</v>
      </c>
      <c r="F32" s="147">
        <f t="shared" si="18"/>
        <v>0.2595019659239842</v>
      </c>
      <c r="G32" s="147">
        <f t="shared" si="18"/>
        <v>0</v>
      </c>
      <c r="H32" s="147">
        <f t="shared" si="18"/>
        <v>0</v>
      </c>
      <c r="I32" s="147">
        <f t="shared" si="18"/>
        <v>1.2832929782082325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2:17" ht="12.75">
      <c r="B34" s="228" t="s">
        <v>117</v>
      </c>
      <c r="C34" s="229" t="s">
        <v>73</v>
      </c>
      <c r="D34" s="230">
        <f>E34+F34</f>
        <v>0</v>
      </c>
      <c r="E34" s="231"/>
      <c r="F34" s="231"/>
      <c r="G34" s="231"/>
      <c r="H34" s="231"/>
      <c r="I34" s="231"/>
      <c r="J34" s="231"/>
      <c r="K34" s="232"/>
      <c r="L34" s="232">
        <v>8.5</v>
      </c>
      <c r="M34" s="232">
        <v>4.4</v>
      </c>
      <c r="N34" s="232">
        <v>1.8</v>
      </c>
      <c r="O34" s="232">
        <v>1.7</v>
      </c>
      <c r="P34" s="232">
        <v>0.5</v>
      </c>
      <c r="Q34" s="232">
        <v>0.5</v>
      </c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85</v>
      </c>
      <c r="M35" s="145">
        <f t="shared" si="20"/>
        <v>44</v>
      </c>
      <c r="N35" s="145">
        <f t="shared" si="20"/>
        <v>18</v>
      </c>
      <c r="O35" s="145">
        <f t="shared" si="20"/>
        <v>17</v>
      </c>
      <c r="P35" s="145">
        <f t="shared" si="20"/>
        <v>5</v>
      </c>
      <c r="Q35" s="145">
        <f t="shared" si="20"/>
        <v>5</v>
      </c>
    </row>
    <row r="36" spans="2:17" ht="12.75">
      <c r="B36" s="186">
        <v>0.008</v>
      </c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0.68</v>
      </c>
      <c r="M36" s="132">
        <f t="shared" si="21"/>
        <v>0.352</v>
      </c>
      <c r="N36" s="132">
        <f t="shared" si="21"/>
        <v>0.14400000000000002</v>
      </c>
      <c r="O36" s="132">
        <f t="shared" si="21"/>
        <v>0.136</v>
      </c>
      <c r="P36" s="132">
        <f t="shared" si="21"/>
        <v>0.04</v>
      </c>
      <c r="Q36" s="132">
        <f t="shared" si="21"/>
        <v>0.04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0.6562123039806997</v>
      </c>
      <c r="M37" s="148">
        <f t="shared" si="22"/>
        <v>0.5129326047358834</v>
      </c>
      <c r="N37" s="148">
        <f t="shared" si="22"/>
        <v>1.540106951871658</v>
      </c>
      <c r="O37" s="148">
        <f t="shared" si="22"/>
        <v>16.999999999999986</v>
      </c>
      <c r="P37" s="148">
        <f t="shared" si="22"/>
        <v>0.8333333333333334</v>
      </c>
      <c r="Q37" s="148">
        <f t="shared" si="22"/>
        <v>0.8333333333333334</v>
      </c>
    </row>
    <row r="38" spans="2:17" ht="14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16</v>
      </c>
      <c r="C39" s="143" t="s">
        <v>87</v>
      </c>
      <c r="D39" s="140">
        <f>E39+F39</f>
        <v>24.96</v>
      </c>
      <c r="E39" s="131">
        <f>B39*15.6/10</f>
        <v>24.96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110</v>
      </c>
      <c r="C40" s="151" t="s">
        <v>76</v>
      </c>
      <c r="D40" s="161">
        <f aca="true" t="shared" si="23" ref="D40:Q40">D16+D31+D39+D21+D36+D26</f>
        <v>130.56</v>
      </c>
      <c r="E40" s="162">
        <f t="shared" si="23"/>
        <v>114.15</v>
      </c>
      <c r="F40" s="162">
        <f t="shared" si="23"/>
        <v>16.41</v>
      </c>
      <c r="G40" s="162">
        <f t="shared" si="23"/>
        <v>99.6</v>
      </c>
      <c r="H40" s="162">
        <f t="shared" si="23"/>
        <v>298.8</v>
      </c>
      <c r="I40" s="162">
        <f t="shared" si="23"/>
        <v>95.39999999999999</v>
      </c>
      <c r="J40" s="162">
        <f t="shared" si="23"/>
        <v>24.9</v>
      </c>
      <c r="K40" s="162">
        <f t="shared" si="23"/>
        <v>6.64</v>
      </c>
      <c r="L40" s="161">
        <f t="shared" si="23"/>
        <v>1.2610000000000001</v>
      </c>
      <c r="M40" s="161">
        <f t="shared" si="23"/>
        <v>0.6839999999999999</v>
      </c>
      <c r="N40" s="161">
        <f t="shared" si="23"/>
        <v>0.35150000000000003</v>
      </c>
      <c r="O40" s="161">
        <f t="shared" si="23"/>
        <v>0.3435</v>
      </c>
      <c r="P40" s="161">
        <f t="shared" si="23"/>
        <v>0.123</v>
      </c>
      <c r="Q40" s="161">
        <f t="shared" si="23"/>
        <v>0.0732</v>
      </c>
    </row>
    <row r="41" spans="2:17" ht="13.5" thickBot="1">
      <c r="B41" s="41"/>
      <c r="C41" s="42"/>
      <c r="D41" s="158">
        <f aca="true" t="shared" si="24" ref="D41:Q41">D40/D10</f>
        <v>0.7448653582838888</v>
      </c>
      <c r="E41" s="147">
        <f t="shared" si="24"/>
        <v>0.7133483314585678</v>
      </c>
      <c r="F41" s="147">
        <f t="shared" si="24"/>
        <v>1.0753604193971165</v>
      </c>
      <c r="G41" s="147">
        <f t="shared" si="24"/>
        <v>1.1222535211267606</v>
      </c>
      <c r="H41" s="147">
        <f t="shared" si="24"/>
        <v>0.9902565122290714</v>
      </c>
      <c r="I41" s="147">
        <f t="shared" si="24"/>
        <v>1.2832929782082325</v>
      </c>
      <c r="J41" s="147">
        <f t="shared" si="24"/>
        <v>0.9503816793893128</v>
      </c>
      <c r="K41" s="148">
        <f t="shared" si="24"/>
        <v>0.5123456790123456</v>
      </c>
      <c r="L41" s="148">
        <f t="shared" si="24"/>
        <v>1.2168878166465624</v>
      </c>
      <c r="M41" s="148">
        <f t="shared" si="24"/>
        <v>0.9967213114754098</v>
      </c>
      <c r="N41" s="148">
        <f t="shared" si="24"/>
        <v>3.759358288770054</v>
      </c>
      <c r="O41" s="148">
        <f t="shared" si="24"/>
        <v>42.937499999999964</v>
      </c>
      <c r="P41" s="148">
        <f t="shared" si="24"/>
        <v>2.5625</v>
      </c>
      <c r="Q41" s="148">
        <f t="shared" si="24"/>
        <v>1.525</v>
      </c>
    </row>
    <row r="43" spans="8:15" ht="13.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2:15" ht="18.75" thickBot="1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ht="13.5" thickBot="1">
      <c r="E45" s="174" t="s">
        <v>100</v>
      </c>
    </row>
    <row r="46" spans="2:13" ht="12.75">
      <c r="B46" s="115"/>
      <c r="C46" s="106" t="s">
        <v>96</v>
      </c>
      <c r="D46" s="216" t="s">
        <v>97</v>
      </c>
      <c r="E46" s="192">
        <v>225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2:13" ht="12.75">
      <c r="B47" s="170" t="s">
        <v>95</v>
      </c>
      <c r="C47" s="167" t="str">
        <f>B14</f>
        <v>Kristalon orange</v>
      </c>
      <c r="D47" s="217">
        <v>11</v>
      </c>
      <c r="E47" s="176">
        <f aca="true" t="shared" si="25" ref="E47:E52">D47*$E$46/100</f>
        <v>24.75</v>
      </c>
      <c r="F47" s="177" t="s">
        <v>102</v>
      </c>
      <c r="G47" s="173">
        <f>B16/D47*10</f>
        <v>0.7545454545454545</v>
      </c>
      <c r="H47" s="173">
        <f>(B16+B31+B21)/0.8</f>
        <v>1.4874999999999998</v>
      </c>
      <c r="J47" s="239">
        <f>(H40/47+H8)/(I40/28+I8)</f>
        <v>1.1861576114655032</v>
      </c>
      <c r="K47" s="23">
        <f>(H40/47+H8)/((I40/28+I8)+(J40/20+J8))</f>
        <v>0.8743985186683705</v>
      </c>
      <c r="L47" s="13" t="s">
        <v>111</v>
      </c>
      <c r="M47" s="240"/>
    </row>
    <row r="48" spans="2:13" ht="12.75">
      <c r="B48" s="45"/>
      <c r="C48" s="13" t="str">
        <f>B24</f>
        <v>Fer</v>
      </c>
      <c r="D48" s="220">
        <f>B26*100/G47/10</f>
        <v>0</v>
      </c>
      <c r="E48" s="221">
        <f t="shared" si="25"/>
        <v>0</v>
      </c>
      <c r="F48" s="222"/>
      <c r="G48" s="223"/>
      <c r="H48" s="223"/>
      <c r="J48" s="241">
        <v>1.18</v>
      </c>
      <c r="K48" s="242">
        <v>0.87</v>
      </c>
      <c r="L48" s="168" t="s">
        <v>112</v>
      </c>
      <c r="M48" s="243"/>
    </row>
    <row r="49" spans="2:13" ht="13.5" thickBot="1">
      <c r="B49" s="171"/>
      <c r="C49" s="168" t="str">
        <f>B19</f>
        <v>Sulfate de magnésie</v>
      </c>
      <c r="D49" s="218">
        <f>B21*100/G47/10</f>
        <v>0</v>
      </c>
      <c r="E49" s="219">
        <f t="shared" si="25"/>
        <v>0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ht="12.75">
      <c r="B50" s="170" t="s">
        <v>99</v>
      </c>
      <c r="C50" s="167" t="str">
        <f>B29</f>
        <v>Nitrate de calcium</v>
      </c>
      <c r="D50" s="217">
        <v>11</v>
      </c>
      <c r="E50" s="176">
        <f t="shared" si="25"/>
        <v>24.75</v>
      </c>
      <c r="F50" s="177" t="s">
        <v>102</v>
      </c>
      <c r="G50" s="173">
        <f>B31/D50*10</f>
        <v>0.3272727272727272</v>
      </c>
      <c r="J50" s="244" t="s">
        <v>118</v>
      </c>
      <c r="K50" s="14" t="s">
        <v>119</v>
      </c>
      <c r="L50" s="13" t="s">
        <v>113</v>
      </c>
      <c r="M50" s="240"/>
    </row>
    <row r="51" spans="2:13" ht="12.75">
      <c r="B51" s="45"/>
      <c r="C51" s="13" t="str">
        <f>B34</f>
        <v>Hauert Oligo</v>
      </c>
      <c r="D51" s="220">
        <f>B36*100/G50/10</f>
        <v>0.24444444444444452</v>
      </c>
      <c r="E51" s="221">
        <f t="shared" si="25"/>
        <v>0.5500000000000002</v>
      </c>
      <c r="F51" s="222"/>
      <c r="G51" s="223"/>
      <c r="J51" s="241" t="s">
        <v>120</v>
      </c>
      <c r="K51" s="242"/>
      <c r="L51" s="168" t="s">
        <v>114</v>
      </c>
      <c r="M51" s="243"/>
    </row>
    <row r="52" spans="2:7" ht="13.5" thickBot="1">
      <c r="B52" s="41"/>
      <c r="C52" s="42" t="str">
        <f>B38</f>
        <v>Acide nitrique 60 %</v>
      </c>
      <c r="D52" s="218">
        <f>B39*100/G50/1000</f>
        <v>4.888888888888889</v>
      </c>
      <c r="E52" s="219">
        <f t="shared" si="25"/>
        <v>11</v>
      </c>
      <c r="F52" s="179" t="s">
        <v>101</v>
      </c>
      <c r="G52" s="72"/>
    </row>
  </sheetData>
  <sheetProtection password="8669" sheet="1" objects="1" scenarios="1"/>
  <mergeCells count="3">
    <mergeCell ref="L2:Q2"/>
    <mergeCell ref="H43:O43"/>
    <mergeCell ref="I44:O44"/>
  </mergeCells>
  <printOptions horizontalCentered="1" verticalCentered="1"/>
  <pageMargins left="0.5905511811023623" right="0.5905511811023623" top="0.34" bottom="0.5905511811023623" header="0.31496062992125984" footer="0.31496062992125984"/>
  <pageSetup fitToHeight="1" fitToWidth="1" horizontalDpi="300" verticalDpi="300" orientation="landscape" paperSize="9" scale="75" r:id="rId3"/>
  <headerFooter alignWithMargins="0">
    <oddFooter>&amp;L&amp;"Arial,Normal"&amp;8VG/&amp;F/&amp;A&amp;RChâteauneuf&amp;D</oddFooter>
  </headerFooter>
  <legacyDrawing r:id="rId2"/>
  <oleObjects>
    <oleObject progId="Word.Picture.8" shapeId="1044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4"/>
  <sheetViews>
    <sheetView showGridLines="0" zoomScale="102" zoomScaleNormal="102" workbookViewId="0" topLeftCell="B1">
      <selection activeCell="D47" sqref="D47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7.7109375" style="1" customWidth="1"/>
    <col min="4" max="4" width="13.8515625" style="1" customWidth="1"/>
    <col min="5" max="5" width="12.7109375" style="1" customWidth="1"/>
    <col min="6" max="6" width="11.421875" style="1" customWidth="1"/>
    <col min="7" max="7" width="13.140625" style="1" bestFit="1" customWidth="1"/>
    <col min="8" max="9" width="11.421875" style="1" customWidth="1"/>
    <col min="10" max="10" width="11.57421875" style="1" bestFit="1" customWidth="1"/>
    <col min="11" max="11" width="11.421875" style="1" customWidth="1"/>
    <col min="12" max="12" width="3.140625" style="1" customWidth="1"/>
    <col min="13" max="19" width="5.28125" style="1" customWidth="1"/>
    <col min="20" max="16384" width="11.421875" style="1" customWidth="1"/>
  </cols>
  <sheetData>
    <row r="1" spans="3:14" ht="12.75">
      <c r="C1" s="278" t="s">
        <v>140</v>
      </c>
      <c r="D1" s="278"/>
      <c r="E1" s="278"/>
      <c r="F1" s="278"/>
      <c r="G1" s="278"/>
      <c r="H1" s="278"/>
      <c r="I1" s="278"/>
      <c r="J1" s="278"/>
      <c r="K1" s="278"/>
      <c r="M1" s="2"/>
      <c r="N1" s="2"/>
    </row>
    <row r="2" spans="3:14" ht="13.5" thickBot="1">
      <c r="C2" s="11" t="s">
        <v>122</v>
      </c>
      <c r="D2" s="11"/>
      <c r="E2" s="2"/>
      <c r="F2" s="2"/>
      <c r="G2" s="2"/>
      <c r="H2" s="2"/>
      <c r="I2" s="2"/>
      <c r="J2" s="2"/>
      <c r="K2" s="2"/>
      <c r="M2" s="2"/>
      <c r="N2" s="2"/>
    </row>
    <row r="3" spans="2:11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</row>
    <row r="4" spans="2:14" ht="12.75">
      <c r="B4" s="45"/>
      <c r="C4" s="103" t="s">
        <v>29</v>
      </c>
      <c r="D4" s="225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245" t="s">
        <v>123</v>
      </c>
      <c r="M4" s="13"/>
      <c r="N4" s="13"/>
    </row>
    <row r="5" spans="2:14" ht="12.75">
      <c r="B5" s="45"/>
      <c r="C5" s="104" t="s">
        <v>57</v>
      </c>
      <c r="D5" s="246"/>
      <c r="E5" s="182"/>
      <c r="F5" s="182"/>
      <c r="G5" s="182"/>
      <c r="H5" s="182"/>
      <c r="I5" s="182"/>
      <c r="J5" s="182"/>
      <c r="K5" s="183"/>
      <c r="L5" s="245" t="s">
        <v>124</v>
      </c>
      <c r="M5" s="13"/>
      <c r="N5" s="13"/>
    </row>
    <row r="6" spans="2:14" ht="12.75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245" t="s">
        <v>67</v>
      </c>
      <c r="M6" s="13"/>
      <c r="N6" s="13"/>
    </row>
    <row r="7" spans="2:14" ht="12.75">
      <c r="B7" s="45"/>
      <c r="C7" s="103" t="s">
        <v>31</v>
      </c>
      <c r="D7" s="139">
        <f>E7+F7</f>
        <v>11.01</v>
      </c>
      <c r="E7" s="23">
        <f aca="true" t="shared" si="0" ref="E7:K7">(E4*E6)/100</f>
        <v>11</v>
      </c>
      <c r="F7" s="23">
        <f t="shared" si="0"/>
        <v>0.01</v>
      </c>
      <c r="G7" s="23">
        <f t="shared" si="0"/>
        <v>1.5</v>
      </c>
      <c r="H7" s="23">
        <f t="shared" si="0"/>
        <v>5.5</v>
      </c>
      <c r="I7" s="23">
        <f t="shared" si="0"/>
        <v>7</v>
      </c>
      <c r="J7" s="23">
        <f t="shared" si="0"/>
        <v>3</v>
      </c>
      <c r="K7" s="97">
        <f t="shared" si="0"/>
        <v>3</v>
      </c>
      <c r="L7" s="245"/>
      <c r="M7" s="13"/>
      <c r="N7" s="13"/>
    </row>
    <row r="8" spans="2:14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0.05</v>
      </c>
      <c r="I8" s="111">
        <v>2.13</v>
      </c>
      <c r="J8" s="111">
        <v>0.72</v>
      </c>
      <c r="K8" s="114">
        <v>0.99</v>
      </c>
      <c r="L8" s="245" t="s">
        <v>125</v>
      </c>
      <c r="M8" s="13"/>
      <c r="N8" s="13"/>
    </row>
    <row r="9" spans="2:14" ht="12.75">
      <c r="B9" s="45"/>
      <c r="C9" s="103" t="s">
        <v>56</v>
      </c>
      <c r="D9" s="139">
        <f>E9+F9</f>
        <v>10.69</v>
      </c>
      <c r="E9" s="23">
        <f aca="true" t="shared" si="1" ref="E9:K9">E7-E8</f>
        <v>10.68</v>
      </c>
      <c r="F9" s="23">
        <f t="shared" si="1"/>
        <v>0.01</v>
      </c>
      <c r="G9" s="23">
        <f t="shared" si="1"/>
        <v>1.5</v>
      </c>
      <c r="H9" s="23">
        <f t="shared" si="1"/>
        <v>5.45</v>
      </c>
      <c r="I9" s="23">
        <f t="shared" si="1"/>
        <v>4.87</v>
      </c>
      <c r="J9" s="23">
        <f t="shared" si="1"/>
        <v>2.2800000000000002</v>
      </c>
      <c r="K9" s="97">
        <f t="shared" si="1"/>
        <v>2.01</v>
      </c>
      <c r="L9" s="13"/>
      <c r="M9" s="13"/>
      <c r="N9" s="13"/>
    </row>
    <row r="10" spans="2:14" ht="13.5" thickBot="1">
      <c r="B10" s="41" t="s">
        <v>75</v>
      </c>
      <c r="C10" s="152" t="s">
        <v>74</v>
      </c>
      <c r="D10" s="156">
        <f>E10+F10</f>
        <v>149.65999999999997</v>
      </c>
      <c r="E10" s="153">
        <f>E9*14</f>
        <v>149.51999999999998</v>
      </c>
      <c r="F10" s="153">
        <f>F9*14</f>
        <v>0.14</v>
      </c>
      <c r="G10" s="153">
        <f>G9*71</f>
        <v>106.5</v>
      </c>
      <c r="H10" s="153">
        <f>H9*47</f>
        <v>256.15000000000003</v>
      </c>
      <c r="I10" s="153">
        <f>I9*28</f>
        <v>136.36</v>
      </c>
      <c r="J10" s="153">
        <f>J9*20</f>
        <v>45.60000000000001</v>
      </c>
      <c r="K10" s="154">
        <f>K9*16</f>
        <v>32.16</v>
      </c>
      <c r="L10" s="245" t="s">
        <v>126</v>
      </c>
      <c r="M10" s="13"/>
      <c r="N10" s="13"/>
    </row>
    <row r="11" spans="3:12" ht="12.75">
      <c r="C11" s="142"/>
      <c r="D11" s="142"/>
      <c r="E11" s="23"/>
      <c r="F11" s="23"/>
      <c r="G11" s="23"/>
      <c r="H11" s="23"/>
      <c r="I11" s="23"/>
      <c r="J11" s="23"/>
      <c r="K11" s="23"/>
      <c r="L11" s="245"/>
    </row>
    <row r="12" ht="13.5" thickBot="1">
      <c r="L12" s="247"/>
    </row>
    <row r="13" spans="2:12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247"/>
    </row>
    <row r="14" spans="1:12" ht="12.75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/>
      <c r="K14" s="188">
        <v>20</v>
      </c>
      <c r="L14" s="247" t="s">
        <v>127</v>
      </c>
    </row>
    <row r="15" spans="2:12" ht="12.75">
      <c r="B15" s="45"/>
      <c r="C15" s="143" t="s">
        <v>85</v>
      </c>
      <c r="D15" s="157">
        <f>E15+F15</f>
        <v>120</v>
      </c>
      <c r="E15" s="144">
        <f aca="true" t="shared" si="2" ref="E15:J15">E14*10</f>
        <v>101</v>
      </c>
      <c r="F15" s="144">
        <f t="shared" si="2"/>
        <v>19</v>
      </c>
      <c r="G15" s="144">
        <f t="shared" si="2"/>
        <v>120</v>
      </c>
      <c r="H15" s="144">
        <f t="shared" si="2"/>
        <v>360</v>
      </c>
      <c r="I15" s="144">
        <f t="shared" si="2"/>
        <v>0</v>
      </c>
      <c r="J15" s="144">
        <f t="shared" si="2"/>
        <v>0</v>
      </c>
      <c r="K15" s="145">
        <f>K14/2.5</f>
        <v>8</v>
      </c>
      <c r="L15" s="247"/>
    </row>
    <row r="16" spans="2:12" ht="12.75">
      <c r="B16" s="186">
        <v>0.75</v>
      </c>
      <c r="C16" s="133" t="s">
        <v>84</v>
      </c>
      <c r="D16" s="140">
        <f>E16+F16</f>
        <v>90</v>
      </c>
      <c r="E16" s="131">
        <f aca="true" t="shared" si="3" ref="E16:K16">E15*$B$16</f>
        <v>75.75</v>
      </c>
      <c r="F16" s="131">
        <f t="shared" si="3"/>
        <v>14.25</v>
      </c>
      <c r="G16" s="131">
        <f t="shared" si="3"/>
        <v>90</v>
      </c>
      <c r="H16" s="131">
        <f t="shared" si="3"/>
        <v>270</v>
      </c>
      <c r="I16" s="131">
        <f t="shared" si="3"/>
        <v>0</v>
      </c>
      <c r="J16" s="131">
        <f t="shared" si="3"/>
        <v>0</v>
      </c>
      <c r="K16" s="132">
        <f t="shared" si="3"/>
        <v>6</v>
      </c>
      <c r="L16" s="247" t="s">
        <v>128</v>
      </c>
    </row>
    <row r="17" spans="2:12" ht="12.75">
      <c r="B17" s="171"/>
      <c r="C17" s="202"/>
      <c r="D17" s="203">
        <f aca="true" t="shared" si="4" ref="D17:K17">D16/D10</f>
        <v>0.6013630896699186</v>
      </c>
      <c r="E17" s="204">
        <f t="shared" si="4"/>
        <v>0.5066211878009631</v>
      </c>
      <c r="F17" s="204">
        <f t="shared" si="4"/>
        <v>101.78571428571428</v>
      </c>
      <c r="G17" s="204">
        <f t="shared" si="4"/>
        <v>0.8450704225352113</v>
      </c>
      <c r="H17" s="204">
        <f t="shared" si="4"/>
        <v>1.0540698809291429</v>
      </c>
      <c r="I17" s="204">
        <f t="shared" si="4"/>
        <v>0</v>
      </c>
      <c r="J17" s="204">
        <f t="shared" si="4"/>
        <v>0</v>
      </c>
      <c r="K17" s="205">
        <f t="shared" si="4"/>
        <v>0.1865671641791045</v>
      </c>
      <c r="L17" s="247" t="s">
        <v>129</v>
      </c>
    </row>
    <row r="18" spans="2:12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247"/>
    </row>
    <row r="19" spans="1:12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47"/>
    </row>
    <row r="20" spans="2:12" ht="12.75">
      <c r="B20" s="45"/>
      <c r="C20" s="143" t="s">
        <v>85</v>
      </c>
      <c r="D20" s="157">
        <f>E20+F20</f>
        <v>0</v>
      </c>
      <c r="E20" s="144">
        <f aca="true" t="shared" si="5" ref="E20:J20">E19*10</f>
        <v>0</v>
      </c>
      <c r="F20" s="144">
        <f t="shared" si="5"/>
        <v>0</v>
      </c>
      <c r="G20" s="144">
        <f t="shared" si="5"/>
        <v>0</v>
      </c>
      <c r="H20" s="144">
        <f t="shared" si="5"/>
        <v>0</v>
      </c>
      <c r="I20" s="144">
        <f t="shared" si="5"/>
        <v>0</v>
      </c>
      <c r="J20" s="144">
        <f t="shared" si="5"/>
        <v>160</v>
      </c>
      <c r="K20" s="145">
        <f>K19/2.5</f>
        <v>12.8</v>
      </c>
      <c r="L20" s="247"/>
    </row>
    <row r="21" spans="2:12" ht="12.75">
      <c r="B21" s="186">
        <v>0.3</v>
      </c>
      <c r="C21" s="133" t="s">
        <v>84</v>
      </c>
      <c r="D21" s="140">
        <f>E21+F21</f>
        <v>0</v>
      </c>
      <c r="E21" s="131">
        <f aca="true" t="shared" si="6" ref="E21:K21">E20*$B$21</f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48</v>
      </c>
      <c r="K21" s="132">
        <f t="shared" si="6"/>
        <v>3.84</v>
      </c>
      <c r="L21" s="247"/>
    </row>
    <row r="22" spans="2:12" ht="13.5" thickBot="1">
      <c r="B22" s="41"/>
      <c r="C22" s="146"/>
      <c r="D22" s="158">
        <f aca="true" t="shared" si="7" ref="D22:K22">D21/D10</f>
        <v>0</v>
      </c>
      <c r="E22" s="147">
        <f t="shared" si="7"/>
        <v>0</v>
      </c>
      <c r="F22" s="147">
        <f t="shared" si="7"/>
        <v>0</v>
      </c>
      <c r="G22" s="147">
        <f t="shared" si="7"/>
        <v>0</v>
      </c>
      <c r="H22" s="147">
        <f t="shared" si="7"/>
        <v>0</v>
      </c>
      <c r="I22" s="147">
        <f t="shared" si="7"/>
        <v>0</v>
      </c>
      <c r="J22" s="147">
        <f t="shared" si="7"/>
        <v>1.0526315789473681</v>
      </c>
      <c r="K22" s="148">
        <f t="shared" si="7"/>
        <v>0.11940298507462688</v>
      </c>
      <c r="L22" s="247"/>
    </row>
    <row r="23" spans="2:12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247"/>
    </row>
    <row r="24" spans="1:12" ht="12.75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</v>
      </c>
      <c r="G24" s="190"/>
      <c r="H24" s="190"/>
      <c r="I24" s="190">
        <v>26.5</v>
      </c>
      <c r="J24" s="190"/>
      <c r="K24" s="191"/>
      <c r="L24" s="247"/>
    </row>
    <row r="25" spans="2:12" ht="12.75">
      <c r="B25" s="45"/>
      <c r="C25" s="143" t="s">
        <v>85</v>
      </c>
      <c r="D25" s="157">
        <f>E25+F25</f>
        <v>155</v>
      </c>
      <c r="E25" s="144">
        <f aca="true" t="shared" si="8" ref="E25:J25">E24*10</f>
        <v>144</v>
      </c>
      <c r="F25" s="144">
        <f t="shared" si="8"/>
        <v>11</v>
      </c>
      <c r="G25" s="144">
        <f t="shared" si="8"/>
        <v>0</v>
      </c>
      <c r="H25" s="144">
        <f t="shared" si="8"/>
        <v>0</v>
      </c>
      <c r="I25" s="144">
        <f t="shared" si="8"/>
        <v>265</v>
      </c>
      <c r="J25" s="144">
        <f t="shared" si="8"/>
        <v>0</v>
      </c>
      <c r="K25" s="145">
        <f>K24/2.5</f>
        <v>0</v>
      </c>
      <c r="L25" s="247"/>
    </row>
    <row r="26" spans="2:12" ht="12.75">
      <c r="B26" s="186">
        <v>0.5</v>
      </c>
      <c r="C26" s="133" t="s">
        <v>84</v>
      </c>
      <c r="D26" s="140">
        <f>E26+F26</f>
        <v>77.5</v>
      </c>
      <c r="E26" s="131">
        <f aca="true" t="shared" si="9" ref="E26:K26">E25*$B$26</f>
        <v>72</v>
      </c>
      <c r="F26" s="131">
        <f t="shared" si="9"/>
        <v>5.5</v>
      </c>
      <c r="G26" s="131">
        <f t="shared" si="9"/>
        <v>0</v>
      </c>
      <c r="H26" s="131">
        <f t="shared" si="9"/>
        <v>0</v>
      </c>
      <c r="I26" s="131">
        <f t="shared" si="9"/>
        <v>132.5</v>
      </c>
      <c r="J26" s="131">
        <f t="shared" si="9"/>
        <v>0</v>
      </c>
      <c r="K26" s="132">
        <f t="shared" si="9"/>
        <v>0</v>
      </c>
      <c r="L26" s="247"/>
    </row>
    <row r="27" spans="2:12" ht="13.5" thickBot="1">
      <c r="B27" s="41"/>
      <c r="C27" s="146"/>
      <c r="D27" s="158">
        <f aca="true" t="shared" si="10" ref="D27:K27">D26/D10</f>
        <v>0.5178404383268743</v>
      </c>
      <c r="E27" s="147">
        <f t="shared" si="10"/>
        <v>0.4815409309791333</v>
      </c>
      <c r="F27" s="147">
        <f t="shared" si="10"/>
        <v>39.285714285714285</v>
      </c>
      <c r="G27" s="147">
        <f t="shared" si="10"/>
        <v>0</v>
      </c>
      <c r="H27" s="147">
        <f t="shared" si="10"/>
        <v>0</v>
      </c>
      <c r="I27" s="147">
        <f t="shared" si="10"/>
        <v>0.9716925784687591</v>
      </c>
      <c r="J27" s="147">
        <f t="shared" si="10"/>
        <v>0</v>
      </c>
      <c r="K27" s="148">
        <f t="shared" si="10"/>
        <v>0</v>
      </c>
      <c r="L27" s="247"/>
    </row>
    <row r="28" spans="1:12" ht="14.25">
      <c r="A28" s="1" t="s">
        <v>107</v>
      </c>
      <c r="B28" s="184" t="s">
        <v>88</v>
      </c>
      <c r="C28" s="163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247"/>
    </row>
    <row r="29" spans="2:12" ht="12.75">
      <c r="B29" s="186">
        <v>13</v>
      </c>
      <c r="C29" s="143" t="s">
        <v>87</v>
      </c>
      <c r="D29" s="140">
        <f>E29+F29</f>
        <v>20.279999999999998</v>
      </c>
      <c r="E29" s="131">
        <f>B29*15.6/10</f>
        <v>20.279999999999998</v>
      </c>
      <c r="F29" s="131"/>
      <c r="G29" s="131"/>
      <c r="H29" s="131"/>
      <c r="I29" s="131"/>
      <c r="J29" s="131"/>
      <c r="K29" s="132"/>
      <c r="L29" s="247"/>
    </row>
    <row r="30" spans="2:12" ht="12.75">
      <c r="B30" s="166" t="s">
        <v>130</v>
      </c>
      <c r="C30" s="151" t="s">
        <v>76</v>
      </c>
      <c r="D30" s="161">
        <f aca="true" t="shared" si="11" ref="D30:K30">D16+D26+D29+D21</f>
        <v>187.78</v>
      </c>
      <c r="E30" s="162">
        <f t="shared" si="11"/>
        <v>168.03</v>
      </c>
      <c r="F30" s="162">
        <f t="shared" si="11"/>
        <v>19.75</v>
      </c>
      <c r="G30" s="162">
        <f t="shared" si="11"/>
        <v>90</v>
      </c>
      <c r="H30" s="162">
        <f t="shared" si="11"/>
        <v>270</v>
      </c>
      <c r="I30" s="162">
        <f t="shared" si="11"/>
        <v>132.5</v>
      </c>
      <c r="J30" s="162">
        <f t="shared" si="11"/>
        <v>48</v>
      </c>
      <c r="K30" s="215">
        <f t="shared" si="11"/>
        <v>9.84</v>
      </c>
      <c r="L30" s="247" t="s">
        <v>131</v>
      </c>
    </row>
    <row r="31" spans="2:12" ht="13.5" thickBot="1">
      <c r="B31" s="41"/>
      <c r="C31" s="42"/>
      <c r="D31" s="158">
        <f aca="true" t="shared" si="12" ref="D31:K31">D30/D10</f>
        <v>1.254710677535748</v>
      </c>
      <c r="E31" s="147">
        <f t="shared" si="12"/>
        <v>1.1237961476725522</v>
      </c>
      <c r="F31" s="147">
        <f t="shared" si="12"/>
        <v>141.07142857142856</v>
      </c>
      <c r="G31" s="147">
        <f t="shared" si="12"/>
        <v>0.8450704225352113</v>
      </c>
      <c r="H31" s="147">
        <f t="shared" si="12"/>
        <v>1.0540698809291429</v>
      </c>
      <c r="I31" s="147">
        <f t="shared" si="12"/>
        <v>0.9716925784687591</v>
      </c>
      <c r="J31" s="147">
        <f t="shared" si="12"/>
        <v>1.0526315789473681</v>
      </c>
      <c r="K31" s="148">
        <f t="shared" si="12"/>
        <v>0.3059701492537314</v>
      </c>
      <c r="L31" s="247" t="s">
        <v>132</v>
      </c>
    </row>
    <row r="32" spans="5:11" ht="12.75" customHeight="1">
      <c r="E32" s="279" t="s">
        <v>103</v>
      </c>
      <c r="F32" s="279"/>
      <c r="G32" s="279"/>
      <c r="H32" s="279"/>
      <c r="I32" s="279"/>
      <c r="J32" s="279"/>
      <c r="K32" s="193"/>
    </row>
    <row r="33" spans="5:10" ht="13.5">
      <c r="E33" s="280" t="s">
        <v>104</v>
      </c>
      <c r="F33" s="280"/>
      <c r="G33" s="280"/>
      <c r="H33" s="280"/>
      <c r="I33" s="280"/>
      <c r="J33" s="280"/>
    </row>
    <row r="34" ht="18.75" thickBot="1">
      <c r="B34" s="169" t="s">
        <v>94</v>
      </c>
    </row>
    <row r="35" spans="5:12" ht="13.5" thickBot="1">
      <c r="E35" s="174" t="s">
        <v>100</v>
      </c>
      <c r="I35" s="123" t="s">
        <v>34</v>
      </c>
      <c r="J35" s="106" t="s">
        <v>105</v>
      </c>
      <c r="K35" s="267"/>
      <c r="L35" s="247" t="s">
        <v>136</v>
      </c>
    </row>
    <row r="36" spans="2:12" ht="12.75">
      <c r="B36" s="115"/>
      <c r="C36" s="106" t="s">
        <v>96</v>
      </c>
      <c r="D36" s="216" t="s">
        <v>97</v>
      </c>
      <c r="E36" s="192">
        <v>1000</v>
      </c>
      <c r="F36" s="175" t="s">
        <v>101</v>
      </c>
      <c r="G36" s="107" t="s">
        <v>98</v>
      </c>
      <c r="H36" s="107" t="s">
        <v>24</v>
      </c>
      <c r="I36" s="268">
        <f>(H30/47+H8)/(I30/28+I8)</f>
        <v>0.8444418852388219</v>
      </c>
      <c r="J36" s="23">
        <f>(H30/47+H8)/((I30/28+I8)+(J30/20+J8))</f>
        <v>0.5805047006432459</v>
      </c>
      <c r="K36" s="269" t="s">
        <v>111</v>
      </c>
      <c r="L36" s="247" t="s">
        <v>133</v>
      </c>
    </row>
    <row r="37" spans="2:12" ht="12.75">
      <c r="B37" s="170" t="s">
        <v>95</v>
      </c>
      <c r="C37" s="167" t="str">
        <f>B14</f>
        <v>Kristalon rouge</v>
      </c>
      <c r="D37" s="217">
        <v>10</v>
      </c>
      <c r="E37" s="176">
        <f>D37*$E$36/100</f>
        <v>100</v>
      </c>
      <c r="F37" s="177" t="s">
        <v>102</v>
      </c>
      <c r="G37" s="173">
        <f>B16/D37*10</f>
        <v>0.75</v>
      </c>
      <c r="H37" s="173">
        <f>(B16+B26+B21)/0.8</f>
        <v>1.9375</v>
      </c>
      <c r="I37" s="270">
        <v>0.9</v>
      </c>
      <c r="J37" s="242">
        <v>0.74</v>
      </c>
      <c r="K37" s="271" t="s">
        <v>112</v>
      </c>
      <c r="L37" s="247" t="s">
        <v>134</v>
      </c>
    </row>
    <row r="38" spans="2:12" ht="13.5" thickBot="1">
      <c r="B38" s="171"/>
      <c r="C38" s="168" t="str">
        <f>B19</f>
        <v>Sulfate de magnésie</v>
      </c>
      <c r="D38" s="218">
        <f>B21*100/G37/10</f>
        <v>4</v>
      </c>
      <c r="E38" s="219">
        <f>D38*$E$36/100</f>
        <v>40</v>
      </c>
      <c r="F38" s="178"/>
      <c r="G38" s="172"/>
      <c r="H38" s="172"/>
      <c r="I38" s="272" t="s">
        <v>24</v>
      </c>
      <c r="J38" s="234" t="s">
        <v>1</v>
      </c>
      <c r="K38" s="273"/>
      <c r="L38" s="247" t="s">
        <v>135</v>
      </c>
    </row>
    <row r="39" spans="2:12" ht="12.75">
      <c r="B39" s="170" t="s">
        <v>99</v>
      </c>
      <c r="C39" s="167" t="str">
        <f>B24</f>
        <v>Nitrate de calcium</v>
      </c>
      <c r="D39" s="217">
        <v>10</v>
      </c>
      <c r="E39" s="176">
        <f>D39*$E$36/100</f>
        <v>100</v>
      </c>
      <c r="F39" s="177" t="s">
        <v>102</v>
      </c>
      <c r="G39" s="173">
        <f>B26/D39*10</f>
        <v>0.5</v>
      </c>
      <c r="I39" s="27" t="s">
        <v>154</v>
      </c>
      <c r="J39" s="14" t="s">
        <v>149</v>
      </c>
      <c r="K39" s="269" t="s">
        <v>113</v>
      </c>
      <c r="L39" s="247"/>
    </row>
    <row r="40" spans="2:11" ht="13.5" thickBot="1">
      <c r="B40" s="41"/>
      <c r="C40" s="42" t="str">
        <f>B28</f>
        <v>Acide nitrique 60 %</v>
      </c>
      <c r="D40" s="218">
        <f>B29*100/G39/1000</f>
        <v>2.6</v>
      </c>
      <c r="E40" s="219">
        <f>D40*$E$36/100</f>
        <v>26</v>
      </c>
      <c r="F40" s="179" t="s">
        <v>101</v>
      </c>
      <c r="G40" s="72"/>
      <c r="I40" s="49" t="s">
        <v>150</v>
      </c>
      <c r="J40" s="50"/>
      <c r="K40" s="274" t="s">
        <v>114</v>
      </c>
    </row>
    <row r="42" spans="2:11" ht="12.75">
      <c r="B42" s="248" t="s">
        <v>137</v>
      </c>
      <c r="C42" s="249"/>
      <c r="D42" s="249"/>
      <c r="E42" s="250"/>
      <c r="F42" s="250"/>
      <c r="G42" s="250"/>
      <c r="H42" s="250"/>
      <c r="I42" s="250"/>
      <c r="J42" s="250"/>
      <c r="K42" s="251"/>
    </row>
    <row r="43" spans="2:11" ht="12.75">
      <c r="B43" s="252" t="s">
        <v>138</v>
      </c>
      <c r="C43" s="253"/>
      <c r="D43" s="253"/>
      <c r="E43" s="254"/>
      <c r="F43" s="254"/>
      <c r="G43" s="254"/>
      <c r="H43" s="254"/>
      <c r="I43" s="254"/>
      <c r="J43" s="254"/>
      <c r="K43" s="255"/>
    </row>
    <row r="44" spans="2:11" ht="12.75">
      <c r="B44" s="235" t="s">
        <v>139</v>
      </c>
      <c r="C44" s="236"/>
      <c r="D44" s="236"/>
      <c r="E44" s="236"/>
      <c r="F44" s="236"/>
      <c r="G44" s="236"/>
      <c r="H44" s="236"/>
      <c r="I44" s="236"/>
      <c r="J44" s="236"/>
      <c r="K44" s="237"/>
    </row>
  </sheetData>
  <sheetProtection password="8669" sheet="1" objects="1" scenarios="1"/>
  <mergeCells count="3">
    <mergeCell ref="C1:K1"/>
    <mergeCell ref="E32:J32"/>
    <mergeCell ref="E33:J33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9" r:id="rId3"/>
  <headerFooter alignWithMargins="0">
    <oddFooter>&amp;L&amp;"Arial,Normal"&amp;8VG/&amp;F/&amp;A&amp;RChâteauneuf&amp;D</oddFooter>
  </headerFooter>
  <legacyDrawing r:id="rId2"/>
  <oleObjects>
    <oleObject progId="Word.Picture.8" shapeId="10187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1"/>
  <sheetViews>
    <sheetView showGridLines="0" zoomScale="91" zoomScaleNormal="91" workbookViewId="0" topLeftCell="A1">
      <selection activeCell="G2" sqref="G2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11" t="s">
        <v>145</v>
      </c>
      <c r="D1" s="11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7" ht="13.5" thickBot="1">
      <c r="C2" s="11" t="s">
        <v>146</v>
      </c>
      <c r="D2" s="11"/>
      <c r="E2" s="2"/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194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181">
        <v>1.004</v>
      </c>
      <c r="M4" s="181">
        <v>0.988</v>
      </c>
      <c r="N4" s="181">
        <v>0.556</v>
      </c>
      <c r="O4" s="181">
        <v>0.108</v>
      </c>
      <c r="P4" s="181">
        <v>0.54</v>
      </c>
      <c r="Q4" s="181">
        <v>0.038</v>
      </c>
    </row>
    <row r="5" spans="2:17" ht="12.75">
      <c r="B5" s="195"/>
      <c r="C5" s="104" t="s">
        <v>57</v>
      </c>
      <c r="D5" s="196"/>
      <c r="E5" s="265"/>
      <c r="F5" s="265"/>
      <c r="G5" s="265"/>
      <c r="H5" s="265"/>
      <c r="I5" s="265"/>
      <c r="J5" s="265"/>
      <c r="K5" s="266"/>
      <c r="L5" s="266"/>
      <c r="M5" s="266"/>
      <c r="N5" s="266"/>
      <c r="O5" s="266"/>
      <c r="P5" s="266"/>
      <c r="Q5" s="266"/>
    </row>
    <row r="6" spans="2:17" ht="12.75">
      <c r="B6" s="45"/>
      <c r="C6" s="105" t="s">
        <v>30</v>
      </c>
      <c r="D6" s="141"/>
      <c r="E6" s="112">
        <v>100</v>
      </c>
      <c r="F6" s="112">
        <v>90</v>
      </c>
      <c r="G6" s="112">
        <v>80</v>
      </c>
      <c r="H6" s="112">
        <v>80</v>
      </c>
      <c r="I6" s="112">
        <v>90</v>
      </c>
      <c r="J6" s="112">
        <v>110</v>
      </c>
      <c r="K6" s="113">
        <v>75</v>
      </c>
      <c r="L6" s="113">
        <v>85</v>
      </c>
      <c r="M6" s="113">
        <v>120</v>
      </c>
      <c r="N6" s="113">
        <v>70</v>
      </c>
      <c r="O6" s="113">
        <v>50</v>
      </c>
      <c r="P6" s="113">
        <v>120</v>
      </c>
      <c r="Q6" s="113">
        <v>100</v>
      </c>
    </row>
    <row r="7" spans="2:17" ht="12.75">
      <c r="B7" s="45"/>
      <c r="C7" s="103" t="s">
        <v>31</v>
      </c>
      <c r="D7" s="199">
        <f>E7+F7</f>
        <v>11.009</v>
      </c>
      <c r="E7" s="23">
        <f aca="true" t="shared" si="0" ref="E7:Q7">(E4*E6)/100</f>
        <v>11</v>
      </c>
      <c r="F7" s="23">
        <f t="shared" si="0"/>
        <v>0.009000000000000001</v>
      </c>
      <c r="G7" s="23">
        <f t="shared" si="0"/>
        <v>1.2</v>
      </c>
      <c r="H7" s="23">
        <f t="shared" si="0"/>
        <v>4.4</v>
      </c>
      <c r="I7" s="23">
        <f t="shared" si="0"/>
        <v>6.3</v>
      </c>
      <c r="J7" s="23">
        <f t="shared" si="0"/>
        <v>3.3</v>
      </c>
      <c r="K7" s="97">
        <f t="shared" si="0"/>
        <v>2.25</v>
      </c>
      <c r="L7" s="97">
        <f t="shared" si="0"/>
        <v>0.8534</v>
      </c>
      <c r="M7" s="97">
        <f t="shared" si="0"/>
        <v>1.1856</v>
      </c>
      <c r="N7" s="97">
        <f t="shared" si="0"/>
        <v>0.3892</v>
      </c>
      <c r="O7" s="97">
        <f t="shared" si="0"/>
        <v>0.054000000000000006</v>
      </c>
      <c r="P7" s="97">
        <f t="shared" si="0"/>
        <v>0.6480000000000001</v>
      </c>
      <c r="Q7" s="97">
        <f t="shared" si="0"/>
        <v>0.038</v>
      </c>
    </row>
    <row r="8" spans="2:17" ht="12.75">
      <c r="B8" s="263">
        <v>39156</v>
      </c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0.04</v>
      </c>
      <c r="I8" s="111">
        <v>3.68</v>
      </c>
      <c r="J8" s="111">
        <v>1.46</v>
      </c>
      <c r="K8" s="114">
        <v>1.63</v>
      </c>
      <c r="L8" s="200">
        <v>0.01</v>
      </c>
      <c r="M8" s="200">
        <v>0.01</v>
      </c>
      <c r="N8" s="200">
        <v>1.21</v>
      </c>
      <c r="O8" s="200">
        <v>0.01</v>
      </c>
      <c r="P8" s="200">
        <v>0.01</v>
      </c>
      <c r="Q8" s="155"/>
    </row>
    <row r="9" spans="2:17" ht="12.75">
      <c r="B9" s="45"/>
      <c r="C9" s="103" t="s">
        <v>56</v>
      </c>
      <c r="D9" s="199">
        <f>E9+F9</f>
        <v>10.689</v>
      </c>
      <c r="E9" s="23">
        <f aca="true" t="shared" si="1" ref="E9:Q9">E7-E8</f>
        <v>10.68</v>
      </c>
      <c r="F9" s="23">
        <f t="shared" si="1"/>
        <v>0.009000000000000001</v>
      </c>
      <c r="G9" s="23">
        <f t="shared" si="1"/>
        <v>1.2</v>
      </c>
      <c r="H9" s="23">
        <f t="shared" si="1"/>
        <v>4.36</v>
      </c>
      <c r="I9" s="23">
        <f t="shared" si="1"/>
        <v>2.6199999999999997</v>
      </c>
      <c r="J9" s="23">
        <f t="shared" si="1"/>
        <v>1.8399999999999999</v>
      </c>
      <c r="K9" s="97">
        <f t="shared" si="1"/>
        <v>0.6200000000000001</v>
      </c>
      <c r="L9" s="97">
        <f t="shared" si="1"/>
        <v>0.8434</v>
      </c>
      <c r="M9" s="97">
        <f t="shared" si="1"/>
        <v>1.1756</v>
      </c>
      <c r="N9" s="97">
        <f t="shared" si="1"/>
        <v>-0.8208</v>
      </c>
      <c r="O9" s="97">
        <f t="shared" si="1"/>
        <v>0.044000000000000004</v>
      </c>
      <c r="P9" s="97">
        <f t="shared" si="1"/>
        <v>0.6380000000000001</v>
      </c>
      <c r="Q9" s="97">
        <f t="shared" si="1"/>
        <v>0.038</v>
      </c>
    </row>
    <row r="10" spans="2:17" ht="13.5" thickBot="1">
      <c r="B10" s="41" t="s">
        <v>75</v>
      </c>
      <c r="C10" s="152" t="s">
        <v>74</v>
      </c>
      <c r="D10" s="201">
        <f>E10+F10</f>
        <v>149.646</v>
      </c>
      <c r="E10" s="153">
        <f>E9*14</f>
        <v>149.51999999999998</v>
      </c>
      <c r="F10" s="153">
        <f>F9*14</f>
        <v>0.126</v>
      </c>
      <c r="G10" s="153">
        <f>G9*71</f>
        <v>85.2</v>
      </c>
      <c r="H10" s="153">
        <f>H9*47</f>
        <v>204.92000000000002</v>
      </c>
      <c r="I10" s="153">
        <f>I9*28</f>
        <v>73.35999999999999</v>
      </c>
      <c r="J10" s="153">
        <f>J9*20</f>
        <v>36.8</v>
      </c>
      <c r="K10" s="154">
        <f>K9*16</f>
        <v>9.920000000000002</v>
      </c>
      <c r="L10" s="154">
        <f aca="true" t="shared" si="2" ref="L10:Q10">L9</f>
        <v>0.8434</v>
      </c>
      <c r="M10" s="154">
        <f t="shared" si="2"/>
        <v>1.1756</v>
      </c>
      <c r="N10" s="154">
        <f t="shared" si="2"/>
        <v>-0.8208</v>
      </c>
      <c r="O10" s="154">
        <f t="shared" si="2"/>
        <v>0.044000000000000004</v>
      </c>
      <c r="P10" s="154">
        <f t="shared" si="2"/>
        <v>0.6380000000000001</v>
      </c>
      <c r="Q10" s="154">
        <f t="shared" si="2"/>
        <v>0.038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60</v>
      </c>
      <c r="E15" s="144">
        <f aca="true" t="shared" si="3" ref="E15:J15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0.71</v>
      </c>
      <c r="C16" s="133" t="s">
        <v>84</v>
      </c>
      <c r="D16" s="140">
        <f>E16+F16</f>
        <v>42.599999999999994</v>
      </c>
      <c r="E16" s="131">
        <f aca="true" t="shared" si="5" ref="E16:Q16">E15*$B$16</f>
        <v>31.95</v>
      </c>
      <c r="F16" s="131">
        <f t="shared" si="5"/>
        <v>10.649999999999999</v>
      </c>
      <c r="G16" s="131">
        <f t="shared" si="5"/>
        <v>85.19999999999999</v>
      </c>
      <c r="H16" s="131">
        <f t="shared" si="5"/>
        <v>255.6</v>
      </c>
      <c r="I16" s="131">
        <f t="shared" si="5"/>
        <v>0</v>
      </c>
      <c r="J16" s="131">
        <f t="shared" si="5"/>
        <v>21.299999999999997</v>
      </c>
      <c r="K16" s="132">
        <f t="shared" si="5"/>
        <v>5.68</v>
      </c>
      <c r="L16" s="132">
        <f t="shared" si="5"/>
        <v>0.497</v>
      </c>
      <c r="M16" s="132">
        <f t="shared" si="5"/>
        <v>0.284</v>
      </c>
      <c r="N16" s="132">
        <f t="shared" si="5"/>
        <v>0.1775</v>
      </c>
      <c r="O16" s="132">
        <f t="shared" si="5"/>
        <v>0.1775</v>
      </c>
      <c r="P16" s="132">
        <f t="shared" si="5"/>
        <v>0.071</v>
      </c>
      <c r="Q16" s="132">
        <f t="shared" si="5"/>
        <v>0.028399999999999998</v>
      </c>
    </row>
    <row r="17" spans="2:17" ht="13.5" thickBot="1">
      <c r="B17" s="171"/>
      <c r="C17" s="202"/>
      <c r="D17" s="203">
        <f aca="true" t="shared" si="6" ref="D17:Q17">D16/D10</f>
        <v>0.28467182550819936</v>
      </c>
      <c r="E17" s="204">
        <f t="shared" si="6"/>
        <v>0.2136837881219904</v>
      </c>
      <c r="F17" s="204">
        <f t="shared" si="6"/>
        <v>84.52380952380952</v>
      </c>
      <c r="G17" s="204">
        <f t="shared" si="6"/>
        <v>0.9999999999999998</v>
      </c>
      <c r="H17" s="204">
        <f t="shared" si="6"/>
        <v>1.2473160257661524</v>
      </c>
      <c r="I17" s="204">
        <f t="shared" si="6"/>
        <v>0</v>
      </c>
      <c r="J17" s="204">
        <f t="shared" si="6"/>
        <v>0.5788043478260869</v>
      </c>
      <c r="K17" s="205">
        <f t="shared" si="6"/>
        <v>0.5725806451612901</v>
      </c>
      <c r="L17" s="205">
        <f t="shared" si="6"/>
        <v>0.589281479724923</v>
      </c>
      <c r="M17" s="205">
        <f t="shared" si="6"/>
        <v>0.2415787682885335</v>
      </c>
      <c r="N17" s="205">
        <f t="shared" si="6"/>
        <v>-0.21625243664717347</v>
      </c>
      <c r="O17" s="205">
        <f t="shared" si="6"/>
        <v>4.034090909090908</v>
      </c>
      <c r="P17" s="205">
        <f t="shared" si="6"/>
        <v>0.11128526645768022</v>
      </c>
      <c r="Q17" s="205">
        <f t="shared" si="6"/>
        <v>0.7473684210526316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>
        <v>0.1</v>
      </c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16</v>
      </c>
      <c r="K21" s="132">
        <f t="shared" si="9"/>
        <v>1.2800000000000002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0.4347826086956522</v>
      </c>
      <c r="K22" s="148">
        <f t="shared" si="10"/>
        <v>0.12903225806451613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</v>
      </c>
      <c r="N24" s="232">
        <v>1.8</v>
      </c>
      <c r="O24" s="232">
        <v>1.7</v>
      </c>
      <c r="P24" s="232">
        <v>0.5</v>
      </c>
      <c r="Q24" s="232">
        <v>0.5</v>
      </c>
    </row>
    <row r="25" spans="2:17" ht="12.75">
      <c r="B25" s="45"/>
      <c r="C25" s="143" t="s">
        <v>85</v>
      </c>
      <c r="D25" s="157">
        <f>E25+F25</f>
        <v>0</v>
      </c>
      <c r="E25" s="144">
        <f aca="true" t="shared" si="11" ref="E25:J25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2:17" ht="12.75">
      <c r="B26" s="186">
        <v>0.005</v>
      </c>
      <c r="C26" s="133" t="s">
        <v>84</v>
      </c>
      <c r="D26" s="140">
        <f>E26+F26</f>
        <v>0</v>
      </c>
      <c r="E26" s="131">
        <f aca="true" t="shared" si="13" ref="E26:Q26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0.425</v>
      </c>
      <c r="M26" s="132">
        <f t="shared" si="13"/>
        <v>0.22</v>
      </c>
      <c r="N26" s="132">
        <f t="shared" si="13"/>
        <v>0.09</v>
      </c>
      <c r="O26" s="132">
        <f t="shared" si="13"/>
        <v>0.085</v>
      </c>
      <c r="P26" s="132">
        <f t="shared" si="13"/>
        <v>0.025</v>
      </c>
      <c r="Q26" s="132">
        <f t="shared" si="13"/>
        <v>0.025</v>
      </c>
    </row>
    <row r="27" spans="2:17" ht="13.5" thickBot="1">
      <c r="B27" s="41"/>
      <c r="C27" s="146"/>
      <c r="D27" s="158">
        <f aca="true" t="shared" si="14" ref="D27:Q27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0.5039127341712117</v>
      </c>
      <c r="M27" s="148">
        <f t="shared" si="14"/>
        <v>0.18713848247703302</v>
      </c>
      <c r="N27" s="148">
        <f t="shared" si="14"/>
        <v>-0.10964912280701754</v>
      </c>
      <c r="O27" s="148">
        <f t="shared" si="14"/>
        <v>1.9318181818181817</v>
      </c>
      <c r="P27" s="148">
        <f t="shared" si="14"/>
        <v>0.03918495297805642</v>
      </c>
      <c r="Q27" s="148">
        <f t="shared" si="14"/>
        <v>0.6578947368421053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155</v>
      </c>
      <c r="E30" s="144">
        <f aca="true" t="shared" si="15" ref="E30:J30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0.28</v>
      </c>
      <c r="C31" s="133" t="s">
        <v>84</v>
      </c>
      <c r="D31" s="140">
        <f>E31+F31</f>
        <v>43.400000000000006</v>
      </c>
      <c r="E31" s="131">
        <f aca="true" t="shared" si="17" ref="E31:Q31">E30*$B$31</f>
        <v>40.32000000000001</v>
      </c>
      <c r="F31" s="131">
        <f t="shared" si="17"/>
        <v>3.08</v>
      </c>
      <c r="G31" s="131">
        <f t="shared" si="17"/>
        <v>0</v>
      </c>
      <c r="H31" s="131">
        <f t="shared" si="17"/>
        <v>0</v>
      </c>
      <c r="I31" s="131">
        <f t="shared" si="17"/>
        <v>74.2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0.29001777528300127</v>
      </c>
      <c r="E32" s="147">
        <f t="shared" si="18"/>
        <v>0.2696629213483147</v>
      </c>
      <c r="F32" s="147">
        <f t="shared" si="18"/>
        <v>24.444444444444446</v>
      </c>
      <c r="G32" s="147">
        <f t="shared" si="18"/>
        <v>0</v>
      </c>
      <c r="H32" s="147">
        <f t="shared" si="18"/>
        <v>0</v>
      </c>
      <c r="I32" s="147">
        <f t="shared" si="18"/>
        <v>1.0114503816793896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2:17" ht="12.75">
      <c r="B34" s="189" t="s">
        <v>147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/>
      <c r="M34" s="191">
        <v>33</v>
      </c>
      <c r="N34" s="191"/>
      <c r="O34" s="191"/>
      <c r="P34" s="191"/>
      <c r="Q34" s="191"/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0</v>
      </c>
      <c r="M35" s="145">
        <f t="shared" si="20"/>
        <v>330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2:17" ht="12.75">
      <c r="B36" s="186">
        <v>0.0026</v>
      </c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0.858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0.7298400816604287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2:17" ht="14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110</v>
      </c>
      <c r="C40" s="151" t="s">
        <v>76</v>
      </c>
      <c r="D40" s="161">
        <f aca="true" t="shared" si="23" ref="D40:Q40">D16+D31+D39+D21+D36+D26</f>
        <v>126.56</v>
      </c>
      <c r="E40" s="162">
        <f t="shared" si="23"/>
        <v>112.83000000000001</v>
      </c>
      <c r="F40" s="162">
        <f t="shared" si="23"/>
        <v>13.729999999999999</v>
      </c>
      <c r="G40" s="162">
        <f t="shared" si="23"/>
        <v>85.19999999999999</v>
      </c>
      <c r="H40" s="162">
        <f t="shared" si="23"/>
        <v>255.6</v>
      </c>
      <c r="I40" s="162">
        <f t="shared" si="23"/>
        <v>74.2</v>
      </c>
      <c r="J40" s="162">
        <f t="shared" si="23"/>
        <v>37.3</v>
      </c>
      <c r="K40" s="162">
        <f t="shared" si="23"/>
        <v>6.96</v>
      </c>
      <c r="L40" s="161">
        <f t="shared" si="23"/>
        <v>0.9219999999999999</v>
      </c>
      <c r="M40" s="161">
        <f t="shared" si="23"/>
        <v>1.3619999999999999</v>
      </c>
      <c r="N40" s="161">
        <f t="shared" si="23"/>
        <v>0.26749999999999996</v>
      </c>
      <c r="O40" s="161">
        <f t="shared" si="23"/>
        <v>0.2625</v>
      </c>
      <c r="P40" s="161">
        <f t="shared" si="23"/>
        <v>0.096</v>
      </c>
      <c r="Q40" s="161">
        <f t="shared" si="23"/>
        <v>0.0534</v>
      </c>
    </row>
    <row r="41" spans="2:17" ht="13.5" thickBot="1">
      <c r="B41" s="41"/>
      <c r="C41" s="42"/>
      <c r="D41" s="158">
        <f aca="true" t="shared" si="24" ref="D41:Q41">D40/D10</f>
        <v>0.8457292543736552</v>
      </c>
      <c r="E41" s="147">
        <f t="shared" si="24"/>
        <v>0.7546147672552169</v>
      </c>
      <c r="F41" s="147">
        <f t="shared" si="24"/>
        <v>108.96825396825396</v>
      </c>
      <c r="G41" s="147">
        <f t="shared" si="24"/>
        <v>0.9999999999999998</v>
      </c>
      <c r="H41" s="147">
        <f t="shared" si="24"/>
        <v>1.2473160257661524</v>
      </c>
      <c r="I41" s="147">
        <f t="shared" si="24"/>
        <v>1.0114503816793896</v>
      </c>
      <c r="J41" s="147">
        <f t="shared" si="24"/>
        <v>1.013586956521739</v>
      </c>
      <c r="K41" s="148">
        <f t="shared" si="24"/>
        <v>0.7016129032258063</v>
      </c>
      <c r="L41" s="148">
        <f t="shared" si="24"/>
        <v>1.0931942138961346</v>
      </c>
      <c r="M41" s="148">
        <f t="shared" si="24"/>
        <v>1.1585573324259952</v>
      </c>
      <c r="N41" s="148">
        <f t="shared" si="24"/>
        <v>-0.32590155945419097</v>
      </c>
      <c r="O41" s="148">
        <f t="shared" si="24"/>
        <v>5.965909090909091</v>
      </c>
      <c r="P41" s="148">
        <f t="shared" si="24"/>
        <v>0.15047021943573666</v>
      </c>
      <c r="Q41" s="148">
        <f t="shared" si="24"/>
        <v>1.405263157894737</v>
      </c>
    </row>
    <row r="42" ht="10.5" customHeight="1"/>
    <row r="43" spans="2:15" ht="15" customHeight="1" thickBot="1">
      <c r="B43" s="169" t="s">
        <v>94</v>
      </c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5:15" ht="16.5" customHeight="1" thickBot="1">
      <c r="E44" s="174" t="s">
        <v>100</v>
      </c>
      <c r="H44" s="224"/>
      <c r="I44" s="264" t="s">
        <v>104</v>
      </c>
      <c r="J44" s="264"/>
      <c r="K44" s="264"/>
      <c r="L44" s="264"/>
      <c r="M44" s="264"/>
      <c r="N44" s="264"/>
      <c r="O44" s="264"/>
    </row>
    <row r="45" spans="2:13" ht="12.75">
      <c r="B45" s="115"/>
      <c r="C45" s="106" t="s">
        <v>96</v>
      </c>
      <c r="D45" s="216" t="s">
        <v>97</v>
      </c>
      <c r="E45" s="192">
        <v>15</v>
      </c>
      <c r="F45" s="175" t="s">
        <v>101</v>
      </c>
      <c r="G45" s="107" t="s">
        <v>98</v>
      </c>
      <c r="H45" s="107" t="s">
        <v>24</v>
      </c>
      <c r="J45" s="233" t="s">
        <v>34</v>
      </c>
      <c r="K45" s="234" t="s">
        <v>105</v>
      </c>
      <c r="L45" s="167"/>
      <c r="M45" s="238"/>
    </row>
    <row r="46" spans="2:13" ht="12.75">
      <c r="B46" s="170" t="s">
        <v>95</v>
      </c>
      <c r="C46" s="167" t="str">
        <f>B14</f>
        <v>Kristalon orange</v>
      </c>
      <c r="D46" s="217">
        <v>11</v>
      </c>
      <c r="E46" s="176">
        <f aca="true" t="shared" si="25" ref="E46:E51">D46*$E$45/100</f>
        <v>1.65</v>
      </c>
      <c r="F46" s="177" t="s">
        <v>102</v>
      </c>
      <c r="G46" s="173">
        <f>B16/D46*10</f>
        <v>0.6454545454545455</v>
      </c>
      <c r="H46" s="173">
        <f>(B16+B31+B21+B26)/0.8</f>
        <v>1.36875</v>
      </c>
      <c r="J46" s="239">
        <f>(H40/47+H8)/(I40/28+I8)</f>
        <v>0.865449900843669</v>
      </c>
      <c r="K46" s="23">
        <f>(H40/47+H8)/((I40/28+I8)+(J40/20+J8))</f>
        <v>0.5674052690150622</v>
      </c>
      <c r="L46" s="13" t="s">
        <v>111</v>
      </c>
      <c r="M46" s="240"/>
    </row>
    <row r="47" spans="2:13" ht="12.75">
      <c r="B47" s="45"/>
      <c r="C47" s="13" t="str">
        <f>B24</f>
        <v>Hauert Oligo</v>
      </c>
      <c r="D47" s="220">
        <f>B26*100/G46/10</f>
        <v>0.07746478873239436</v>
      </c>
      <c r="E47" s="221">
        <f t="shared" si="25"/>
        <v>0.011619718309859155</v>
      </c>
      <c r="F47" s="222"/>
      <c r="G47" s="223"/>
      <c r="H47" s="223"/>
      <c r="J47" s="241">
        <v>0.79</v>
      </c>
      <c r="K47" s="242">
        <v>0.55</v>
      </c>
      <c r="L47" s="168" t="s">
        <v>112</v>
      </c>
      <c r="M47" s="243"/>
    </row>
    <row r="48" spans="2:13" ht="13.5" thickBot="1">
      <c r="B48" s="171"/>
      <c r="C48" s="168" t="str">
        <f>B19</f>
        <v>Sulfate de magnésie</v>
      </c>
      <c r="D48" s="218">
        <f>B21*100/G46/10</f>
        <v>1.5492957746478873</v>
      </c>
      <c r="E48" s="219">
        <f t="shared" si="25"/>
        <v>0.2323943661971831</v>
      </c>
      <c r="F48" s="178"/>
      <c r="G48" s="172"/>
      <c r="H48" s="172"/>
      <c r="J48" s="233" t="s">
        <v>24</v>
      </c>
      <c r="K48" s="234" t="s">
        <v>1</v>
      </c>
      <c r="L48" s="167"/>
      <c r="M48" s="238"/>
    </row>
    <row r="49" spans="2:13" ht="12.75">
      <c r="B49" s="170" t="s">
        <v>99</v>
      </c>
      <c r="C49" s="167" t="str">
        <f>B29</f>
        <v>Nitrate de calcium</v>
      </c>
      <c r="D49" s="217">
        <v>5.5</v>
      </c>
      <c r="E49" s="176">
        <f t="shared" si="25"/>
        <v>0.825</v>
      </c>
      <c r="F49" s="177" t="s">
        <v>102</v>
      </c>
      <c r="G49" s="173">
        <f>B31/D49*10</f>
        <v>0.5090909090909091</v>
      </c>
      <c r="J49" s="244" t="s">
        <v>148</v>
      </c>
      <c r="K49" s="14" t="s">
        <v>149</v>
      </c>
      <c r="L49" s="13" t="s">
        <v>113</v>
      </c>
      <c r="M49" s="240"/>
    </row>
    <row r="50" spans="2:13" ht="12.75">
      <c r="B50" s="45"/>
      <c r="C50" s="13" t="str">
        <f>B34</f>
        <v>Sulfate de Mn</v>
      </c>
      <c r="D50" s="220">
        <f>B36*100/G49/10</f>
        <v>0.051071428571428566</v>
      </c>
      <c r="E50" s="221">
        <f t="shared" si="25"/>
        <v>0.0076607142857142855</v>
      </c>
      <c r="F50" s="222"/>
      <c r="G50" s="223"/>
      <c r="J50" s="241" t="s">
        <v>150</v>
      </c>
      <c r="K50" s="242"/>
      <c r="L50" s="168" t="s">
        <v>114</v>
      </c>
      <c r="M50" s="243"/>
    </row>
    <row r="51" spans="2:7" ht="13.5" thickBot="1">
      <c r="B51" s="41"/>
      <c r="C51" s="42" t="str">
        <f>B38</f>
        <v>Acide nitrique 60 %</v>
      </c>
      <c r="D51" s="218">
        <f>B39*100/G49/1000</f>
        <v>5.107142857142857</v>
      </c>
      <c r="E51" s="219">
        <f t="shared" si="25"/>
        <v>0.7660714285714285</v>
      </c>
      <c r="F51" s="179" t="s">
        <v>101</v>
      </c>
      <c r="G51" s="72"/>
    </row>
  </sheetData>
  <sheetProtection password="8669" sheet="1" objects="1" scenarios="1"/>
  <mergeCells count="2">
    <mergeCell ref="L2:Q2"/>
    <mergeCell ref="H43:O43"/>
  </mergeCells>
  <printOptions horizontalCentered="1" verticalCentered="1"/>
  <pageMargins left="0.5905511811023623" right="0.5905511811023623" top="0.36" bottom="0.5905511811023623" header="0.23" footer="0.31496062992125984"/>
  <pageSetup fitToHeight="1" fitToWidth="1" horizontalDpi="600" verticalDpi="600" orientation="landscape" paperSize="9" scale="76" r:id="rId3"/>
  <headerFooter alignWithMargins="0">
    <oddFooter>&amp;L&amp;"Arial,Normal"&amp;8VG/&amp;F/&amp;A&amp;RChâteauneuf&amp;D</oddFooter>
  </headerFooter>
  <legacyDrawing r:id="rId2"/>
  <oleObjects>
    <oleObject progId="Word.Picture.8" shapeId="12763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0"/>
  <sheetViews>
    <sheetView zoomScale="114" zoomScaleNormal="114" workbookViewId="0" topLeftCell="A1">
      <selection activeCell="G37" sqref="G37"/>
    </sheetView>
  </sheetViews>
  <sheetFormatPr defaultColWidth="11.421875" defaultRowHeight="12.75"/>
  <sheetData>
    <row r="1" spans="1:10" ht="13.5" thickBot="1">
      <c r="A1" s="10" t="s">
        <v>155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15"/>
      <c r="B2" s="25" t="s">
        <v>0</v>
      </c>
      <c r="C2" s="25" t="s">
        <v>0</v>
      </c>
      <c r="D2" s="25" t="s">
        <v>0</v>
      </c>
      <c r="E2" s="25" t="s">
        <v>0</v>
      </c>
      <c r="F2" s="25" t="s">
        <v>0</v>
      </c>
      <c r="G2" s="102" t="s">
        <v>0</v>
      </c>
      <c r="H2" s="1"/>
      <c r="I2" s="1"/>
      <c r="J2" s="1"/>
    </row>
    <row r="3" spans="1:10" ht="12.75">
      <c r="A3" s="120" t="s">
        <v>1</v>
      </c>
      <c r="B3" s="14">
        <v>5.8</v>
      </c>
      <c r="C3" s="14"/>
      <c r="D3" s="47"/>
      <c r="E3" s="13"/>
      <c r="F3" s="13"/>
      <c r="G3" s="48"/>
      <c r="H3" s="1"/>
      <c r="I3" s="1"/>
      <c r="J3" s="1"/>
    </row>
    <row r="4" spans="1:10" ht="15" thickBot="1">
      <c r="A4" s="121" t="s">
        <v>66</v>
      </c>
      <c r="B4" s="50">
        <v>1.4</v>
      </c>
      <c r="C4" s="51"/>
      <c r="D4" s="52"/>
      <c r="E4" s="42"/>
      <c r="F4" s="42"/>
      <c r="G4" s="53"/>
      <c r="H4" s="1"/>
      <c r="I4" s="1"/>
      <c r="J4" s="1"/>
    </row>
    <row r="5" spans="1:10" ht="12.75">
      <c r="A5" s="24"/>
      <c r="B5" s="106" t="s">
        <v>3</v>
      </c>
      <c r="C5" s="106" t="s">
        <v>4</v>
      </c>
      <c r="D5" s="122" t="s">
        <v>5</v>
      </c>
      <c r="E5" s="123"/>
      <c r="F5" s="106" t="s">
        <v>3</v>
      </c>
      <c r="G5" s="124" t="s">
        <v>63</v>
      </c>
      <c r="H5" s="12" t="s">
        <v>33</v>
      </c>
      <c r="I5" s="119" t="s">
        <v>64</v>
      </c>
      <c r="J5" s="119" t="s">
        <v>65</v>
      </c>
    </row>
    <row r="6" spans="1:10" ht="15.75">
      <c r="A6" s="27" t="s">
        <v>7</v>
      </c>
      <c r="B6" s="23">
        <f>C6*62.004</f>
        <v>682.044</v>
      </c>
      <c r="C6" s="23">
        <v>11</v>
      </c>
      <c r="D6" s="28">
        <f>C6</f>
        <v>11</v>
      </c>
      <c r="E6" s="27" t="s">
        <v>8</v>
      </c>
      <c r="F6" s="39">
        <f>G6*0.0558</f>
        <v>1.0044</v>
      </c>
      <c r="G6" s="28">
        <v>18</v>
      </c>
      <c r="H6" s="3">
        <f>D10/(D11+D12)</f>
        <v>0.55</v>
      </c>
      <c r="I6" s="3">
        <f>D6+D7+D8</f>
        <v>15.5</v>
      </c>
      <c r="J6" s="3">
        <f>D9+D10+D11+D12</f>
        <v>15.5001</v>
      </c>
    </row>
    <row r="7" spans="1:10" ht="15.75">
      <c r="A7" s="27" t="s">
        <v>9</v>
      </c>
      <c r="B7" s="23">
        <f>C7*96.986</f>
        <v>145.479</v>
      </c>
      <c r="C7" s="23">
        <v>1.5</v>
      </c>
      <c r="D7" s="28">
        <f>C7</f>
        <v>1.5</v>
      </c>
      <c r="E7" s="27" t="s">
        <v>10</v>
      </c>
      <c r="F7" s="39">
        <f>G7*0.0549</f>
        <v>0.9882</v>
      </c>
      <c r="G7" s="28">
        <v>18</v>
      </c>
      <c r="H7" s="12" t="s">
        <v>34</v>
      </c>
      <c r="I7" s="13"/>
      <c r="J7" s="13"/>
    </row>
    <row r="8" spans="1:10" ht="15.75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0.5559</v>
      </c>
      <c r="G8" s="28">
        <v>8.5</v>
      </c>
      <c r="H8" s="3">
        <f>D10/D11</f>
        <v>0.7857142857142857</v>
      </c>
      <c r="I8" s="12" t="s">
        <v>33</v>
      </c>
      <c r="J8" s="14"/>
    </row>
    <row r="9" spans="1:10" ht="15.75">
      <c r="A9" s="27" t="s">
        <v>13</v>
      </c>
      <c r="B9" s="23">
        <f>C9*18.039</f>
        <v>0.0018039000000000002</v>
      </c>
      <c r="C9" s="23">
        <v>0.0001</v>
      </c>
      <c r="D9" s="28">
        <f>C9</f>
        <v>0.0001</v>
      </c>
      <c r="E9" s="27" t="s">
        <v>14</v>
      </c>
      <c r="F9" s="39">
        <f>G9*0.0108</f>
        <v>0.10800000000000001</v>
      </c>
      <c r="G9" s="28">
        <v>10</v>
      </c>
      <c r="H9" s="1"/>
      <c r="I9" s="3">
        <f>C25/(C26+C27)</f>
        <v>0.529352994942017</v>
      </c>
      <c r="J9" s="15"/>
    </row>
    <row r="10" spans="1:10" ht="12.75">
      <c r="A10" s="27" t="s">
        <v>15</v>
      </c>
      <c r="B10" s="23">
        <f>C10*39.102</f>
        <v>215.06099999999998</v>
      </c>
      <c r="C10" s="23">
        <v>5.5</v>
      </c>
      <c r="D10" s="28">
        <f>C10</f>
        <v>5.5</v>
      </c>
      <c r="E10" s="27" t="s">
        <v>16</v>
      </c>
      <c r="F10" s="39">
        <f>G10*0.0635</f>
        <v>0.53975</v>
      </c>
      <c r="G10" s="28">
        <v>8.5</v>
      </c>
      <c r="H10" s="14" t="s">
        <v>37</v>
      </c>
      <c r="I10" s="12" t="s">
        <v>34</v>
      </c>
      <c r="J10" s="1"/>
    </row>
    <row r="11" spans="1:10" ht="12.75">
      <c r="A11" s="27" t="s">
        <v>17</v>
      </c>
      <c r="B11" s="23">
        <f>C11*40.08</f>
        <v>140.28</v>
      </c>
      <c r="C11" s="23">
        <v>3.5</v>
      </c>
      <c r="D11" s="28">
        <f>C11*2</f>
        <v>7</v>
      </c>
      <c r="E11" s="27" t="s">
        <v>18</v>
      </c>
      <c r="F11" s="39">
        <f>G11*0.0959</f>
        <v>0.038360000000000005</v>
      </c>
      <c r="G11" s="28">
        <v>0.4</v>
      </c>
      <c r="H11" s="3">
        <f>SUM(C6:C12)</f>
        <v>24.5001</v>
      </c>
      <c r="I11" s="3">
        <f>C25/C26</f>
        <v>0.7391909916077478</v>
      </c>
      <c r="J11" s="1"/>
    </row>
    <row r="12" spans="1:10" ht="13.5" thickBot="1">
      <c r="A12" s="49" t="s">
        <v>19</v>
      </c>
      <c r="B12" s="51">
        <f>C12*24.305</f>
        <v>36.457499999999996</v>
      </c>
      <c r="C12" s="51">
        <v>1.5</v>
      </c>
      <c r="D12" s="60">
        <f>C12*2</f>
        <v>3</v>
      </c>
      <c r="E12" s="41"/>
      <c r="F12" s="42"/>
      <c r="G12" s="43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123" t="s">
        <v>20</v>
      </c>
      <c r="B14" s="125" t="s">
        <v>156</v>
      </c>
      <c r="C14" s="125" t="str">
        <f>B14</f>
        <v>S170</v>
      </c>
      <c r="D14" s="102"/>
      <c r="E14" s="2"/>
      <c r="F14" s="1"/>
      <c r="G14" s="1"/>
      <c r="H14" s="1"/>
      <c r="I14" s="1"/>
      <c r="J14" s="1"/>
    </row>
    <row r="15" spans="1:10" ht="12.75">
      <c r="A15" s="120" t="s">
        <v>21</v>
      </c>
      <c r="B15" s="126" t="s">
        <v>157</v>
      </c>
      <c r="C15" s="126" t="str">
        <f>B15</f>
        <v>Gt fraise</v>
      </c>
      <c r="D15" s="46"/>
      <c r="E15" s="2"/>
      <c r="F15" s="1"/>
      <c r="G15" s="1"/>
      <c r="H15" s="1"/>
      <c r="I15" s="1"/>
      <c r="J15" s="1"/>
    </row>
    <row r="16" spans="1:10" ht="12.75">
      <c r="A16" s="120" t="s">
        <v>22</v>
      </c>
      <c r="B16" s="127">
        <v>38940</v>
      </c>
      <c r="C16" s="127">
        <f>B16</f>
        <v>38940</v>
      </c>
      <c r="D16" s="128"/>
      <c r="E16" s="4"/>
      <c r="F16" s="1"/>
      <c r="G16" s="1"/>
      <c r="H16" s="1"/>
      <c r="I16" s="1"/>
      <c r="J16" s="1"/>
    </row>
    <row r="17" spans="1:10" ht="12.75">
      <c r="A17" s="120"/>
      <c r="B17" s="14"/>
      <c r="C17" s="14"/>
      <c r="D17" s="46" t="s">
        <v>23</v>
      </c>
      <c r="E17" s="2"/>
      <c r="F17" s="2"/>
      <c r="H17" s="1"/>
      <c r="I17" s="1"/>
      <c r="J17" s="1"/>
    </row>
    <row r="18" spans="1:10" ht="12.75">
      <c r="A18" s="120" t="s">
        <v>1</v>
      </c>
      <c r="B18" s="126">
        <v>6</v>
      </c>
      <c r="C18" s="14"/>
      <c r="D18" s="69"/>
      <c r="E18" s="2"/>
      <c r="F18" s="3"/>
      <c r="H18" s="1"/>
      <c r="I18" s="1"/>
      <c r="J18" s="1"/>
    </row>
    <row r="19" spans="1:10" ht="12.75">
      <c r="A19" s="120" t="s">
        <v>24</v>
      </c>
      <c r="B19" s="126">
        <v>1.238</v>
      </c>
      <c r="C19" s="14"/>
      <c r="D19" s="116">
        <f>(B19-$B$4)/$B$4*100</f>
        <v>-11.571428571428568</v>
      </c>
      <c r="E19" s="2"/>
      <c r="F19" s="3"/>
      <c r="H19" s="1"/>
      <c r="I19" s="1"/>
      <c r="J19" s="1"/>
    </row>
    <row r="20" spans="1:10" ht="12.75">
      <c r="A20" s="120"/>
      <c r="B20" s="14" t="s">
        <v>3</v>
      </c>
      <c r="C20" s="14" t="s">
        <v>5</v>
      </c>
      <c r="D20" s="116"/>
      <c r="E20" s="2"/>
      <c r="F20" s="2"/>
      <c r="H20" s="1"/>
      <c r="I20" s="1"/>
      <c r="J20" s="1"/>
    </row>
    <row r="21" spans="1:10" ht="14.25">
      <c r="A21" s="120" t="s">
        <v>62</v>
      </c>
      <c r="B21" s="275">
        <v>492.8</v>
      </c>
      <c r="C21" s="23">
        <f>B21/62.004</f>
        <v>7.947874330688343</v>
      </c>
      <c r="D21" s="116">
        <f>(C21-$D$6)/$D$6*100</f>
        <v>-27.746596993742333</v>
      </c>
      <c r="E21" s="3" t="str">
        <f aca="true" t="shared" si="0" ref="E21:E36">IF(D21&gt;25,"Accumulation",IF(D21&lt;-25,"Manque"," "))</f>
        <v>Manque</v>
      </c>
      <c r="F21" s="3"/>
      <c r="I21" s="1"/>
      <c r="J21" s="1"/>
    </row>
    <row r="22" spans="1:10" ht="14.25">
      <c r="A22" s="120" t="s">
        <v>59</v>
      </c>
      <c r="B22" s="275">
        <v>67</v>
      </c>
      <c r="C22" s="117">
        <f>B22/96.97</f>
        <v>0.6909353408270599</v>
      </c>
      <c r="D22" s="116">
        <f>(C22-$D$7)/$D$7*100</f>
        <v>-53.93764394486268</v>
      </c>
      <c r="E22" s="3" t="str">
        <f t="shared" si="0"/>
        <v>Manque</v>
      </c>
      <c r="F22" s="3"/>
      <c r="I22" s="1"/>
      <c r="J22" s="1"/>
    </row>
    <row r="23" spans="1:10" ht="14.25">
      <c r="A23" s="120" t="s">
        <v>60</v>
      </c>
      <c r="B23" s="275">
        <v>142.3</v>
      </c>
      <c r="C23" s="23">
        <f>B23/96.056*2</f>
        <v>2.9628550012492716</v>
      </c>
      <c r="D23" s="116">
        <f>(C23-$D$8)/$D$8*100</f>
        <v>-1.2381666250242804</v>
      </c>
      <c r="E23" s="3" t="str">
        <f t="shared" si="0"/>
        <v> </v>
      </c>
      <c r="F23" s="3"/>
      <c r="I23" s="1"/>
      <c r="J23" s="1"/>
    </row>
    <row r="24" spans="1:10" ht="14.25">
      <c r="A24" s="120" t="s">
        <v>58</v>
      </c>
      <c r="B24" s="275">
        <v>5.1</v>
      </c>
      <c r="C24" s="23">
        <f>B24/18.039</f>
        <v>0.28272077166140025</v>
      </c>
      <c r="D24" s="116">
        <f>(C24-$D$9)/$D$9*100</f>
        <v>282620.7716614003</v>
      </c>
      <c r="E24" s="3" t="str">
        <f t="shared" si="0"/>
        <v>Accumulation</v>
      </c>
      <c r="F24" s="3"/>
      <c r="I24" s="1"/>
      <c r="J24" s="1"/>
    </row>
    <row r="25" spans="1:10" ht="12.75">
      <c r="A25" s="120" t="s">
        <v>15</v>
      </c>
      <c r="B25" s="275">
        <v>150</v>
      </c>
      <c r="C25" s="23">
        <f>B25/39.102</f>
        <v>3.8361209145312265</v>
      </c>
      <c r="D25" s="116">
        <f>(C25-$D$10)/$D$10*100</f>
        <v>-30.252347008523156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120" t="s">
        <v>17</v>
      </c>
      <c r="B26" s="275">
        <v>104</v>
      </c>
      <c r="C26" s="23">
        <f>B26/40.08*2</f>
        <v>5.189620758483034</v>
      </c>
      <c r="D26" s="116">
        <f>(C26-$D$11)/$D$11*100</f>
        <v>-25.86256059309951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120" t="s">
        <v>19</v>
      </c>
      <c r="B27" s="275">
        <v>25</v>
      </c>
      <c r="C27" s="23">
        <f>B27/24.305*2</f>
        <v>2.057189878625797</v>
      </c>
      <c r="D27" s="116">
        <f>(C27-$D$12)/$D$12*100</f>
        <v>-31.42700404580676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120" t="s">
        <v>25</v>
      </c>
      <c r="B28" s="275">
        <v>12.6</v>
      </c>
      <c r="C28" s="23">
        <f>B28/22.99</f>
        <v>0.548064375815572</v>
      </c>
      <c r="D28" s="116"/>
      <c r="E28" s="3" t="str">
        <f t="shared" si="0"/>
        <v> </v>
      </c>
      <c r="F28" s="3"/>
      <c r="H28" s="1"/>
      <c r="I28" s="1"/>
      <c r="J28" s="1"/>
    </row>
    <row r="29" spans="1:10" ht="12.75">
      <c r="A29" s="120" t="s">
        <v>26</v>
      </c>
      <c r="B29" s="275">
        <v>13.6</v>
      </c>
      <c r="C29" s="23">
        <f>B29/35.453</f>
        <v>0.3836064648971878</v>
      </c>
      <c r="D29" s="116"/>
      <c r="E29" s="3" t="str">
        <f t="shared" si="0"/>
        <v> </v>
      </c>
      <c r="F29" s="3"/>
      <c r="H29" s="1"/>
      <c r="I29" s="1"/>
      <c r="J29" s="1"/>
    </row>
    <row r="30" spans="1:10" ht="14.25">
      <c r="A30" s="120" t="s">
        <v>61</v>
      </c>
      <c r="B30" s="275">
        <v>16.76</v>
      </c>
      <c r="C30" s="23">
        <f>B30/61.016</f>
        <v>0.2746820506096762</v>
      </c>
      <c r="D30" s="116"/>
      <c r="E30" s="3" t="str">
        <f t="shared" si="0"/>
        <v> </v>
      </c>
      <c r="F30" s="3"/>
      <c r="H30" s="1"/>
      <c r="I30" s="1"/>
      <c r="J30" s="1"/>
    </row>
    <row r="31" spans="1:10" ht="12.75">
      <c r="A31" s="120"/>
      <c r="B31" s="14" t="s">
        <v>3</v>
      </c>
      <c r="C31" s="129" t="s">
        <v>27</v>
      </c>
      <c r="D31" s="116"/>
      <c r="E31" s="3" t="str">
        <f t="shared" si="0"/>
        <v> </v>
      </c>
      <c r="F31" s="2"/>
      <c r="H31" s="1"/>
      <c r="I31" s="1"/>
      <c r="J31" s="1"/>
    </row>
    <row r="32" spans="1:10" ht="12.75">
      <c r="A32" s="120" t="s">
        <v>8</v>
      </c>
      <c r="B32" s="126">
        <v>0.36</v>
      </c>
      <c r="C32" s="23">
        <f>B32/0.0558</f>
        <v>6.451612903225806</v>
      </c>
      <c r="D32" s="116">
        <f>(C32-$G$6)/$G$6*100</f>
        <v>-64.15770609318997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120" t="s">
        <v>10</v>
      </c>
      <c r="B33" s="126">
        <v>0.13</v>
      </c>
      <c r="C33" s="23">
        <f>B33/0.0549</f>
        <v>2.3679417122040074</v>
      </c>
      <c r="D33" s="116">
        <f>(C33-$G$7)/$G$7*100</f>
        <v>-86.84476826553329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120" t="s">
        <v>12</v>
      </c>
      <c r="B34" s="126">
        <v>0.44</v>
      </c>
      <c r="C34" s="23">
        <f>B34/0.0654</f>
        <v>6.72782874617737</v>
      </c>
      <c r="D34" s="116">
        <f>(C34-$G$8)/$G$8*100</f>
        <v>-20.84907357438388</v>
      </c>
      <c r="E34" s="3" t="str">
        <f t="shared" si="0"/>
        <v> </v>
      </c>
      <c r="F34" s="3"/>
      <c r="H34" s="1"/>
      <c r="I34" s="1"/>
      <c r="J34" s="1"/>
    </row>
    <row r="35" spans="1:10" ht="12.75">
      <c r="A35" s="120" t="s">
        <v>14</v>
      </c>
      <c r="B35" s="126">
        <v>0.14</v>
      </c>
      <c r="C35" s="23">
        <f>B35/0.0108</f>
        <v>12.962962962962964</v>
      </c>
      <c r="D35" s="116">
        <f>(C35-$G$9)/$G$9*100</f>
        <v>29.62962962962964</v>
      </c>
      <c r="E35" s="3" t="str">
        <f t="shared" si="0"/>
        <v>Accumulation</v>
      </c>
      <c r="F35" s="3"/>
      <c r="H35" s="1"/>
      <c r="I35" s="1"/>
      <c r="J35" s="1"/>
    </row>
    <row r="36" spans="1:10" ht="12.75">
      <c r="A36" s="120" t="s">
        <v>16</v>
      </c>
      <c r="B36" s="126">
        <v>0.05</v>
      </c>
      <c r="C36" s="23">
        <f>B36/0.0635</f>
        <v>0.7874015748031497</v>
      </c>
      <c r="D36" s="116">
        <f>(C36-$G$10)/$G$10*100</f>
        <v>-90.73645206113942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120" t="s">
        <v>18</v>
      </c>
      <c r="B37" s="14"/>
      <c r="C37" s="23"/>
      <c r="D37" s="116"/>
      <c r="E37" s="3"/>
      <c r="F37" s="3"/>
      <c r="H37" s="1"/>
      <c r="I37" s="1"/>
      <c r="J37" s="1"/>
    </row>
    <row r="38" spans="1:10" ht="13.5" thickBot="1">
      <c r="A38" s="41"/>
      <c r="B38" s="42"/>
      <c r="C38" s="42"/>
      <c r="D38" s="72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30" t="s">
        <v>38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16">
        <f>(C22+C21+C23+C29+C30)-(C27+C26+C25+C24+C28)</f>
        <v>0.3462364891545082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4"/>
  <sheetViews>
    <sheetView showGridLines="0" zoomScale="102" zoomScaleNormal="102" workbookViewId="0" topLeftCell="B1">
      <selection activeCell="H48" sqref="H48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7.7109375" style="1" customWidth="1"/>
    <col min="4" max="4" width="13.8515625" style="1" customWidth="1"/>
    <col min="5" max="5" width="12.7109375" style="1" customWidth="1"/>
    <col min="6" max="6" width="11.421875" style="1" customWidth="1"/>
    <col min="7" max="7" width="13.140625" style="1" bestFit="1" customWidth="1"/>
    <col min="8" max="9" width="11.421875" style="1" customWidth="1"/>
    <col min="10" max="10" width="11.57421875" style="1" bestFit="1" customWidth="1"/>
    <col min="11" max="11" width="11.421875" style="1" customWidth="1"/>
    <col min="12" max="12" width="3.140625" style="1" customWidth="1"/>
    <col min="13" max="19" width="5.28125" style="1" customWidth="1"/>
    <col min="20" max="16384" width="11.421875" style="1" customWidth="1"/>
  </cols>
  <sheetData>
    <row r="1" spans="3:14" ht="12.75">
      <c r="C1" s="278" t="s">
        <v>140</v>
      </c>
      <c r="D1" s="278"/>
      <c r="E1" s="278"/>
      <c r="F1" s="278"/>
      <c r="G1" s="278"/>
      <c r="H1" s="278"/>
      <c r="I1" s="278"/>
      <c r="J1" s="278"/>
      <c r="K1" s="278"/>
      <c r="M1" s="2"/>
      <c r="N1" s="2"/>
    </row>
    <row r="2" spans="3:14" ht="13.5" thickBot="1">
      <c r="C2" s="11" t="s">
        <v>122</v>
      </c>
      <c r="D2" s="11"/>
      <c r="E2" s="2"/>
      <c r="F2" s="2"/>
      <c r="G2" s="2"/>
      <c r="H2" s="2"/>
      <c r="I2" s="2"/>
      <c r="J2" s="2"/>
      <c r="K2" s="2"/>
      <c r="M2" s="2"/>
      <c r="N2" s="2"/>
    </row>
    <row r="3" spans="2:11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</row>
    <row r="4" spans="2:14" ht="12.75">
      <c r="B4" s="45"/>
      <c r="C4" s="103" t="s">
        <v>29</v>
      </c>
      <c r="D4" s="225">
        <f>E4+F4</f>
        <v>11.01</v>
      </c>
      <c r="E4" s="180">
        <v>11</v>
      </c>
      <c r="F4" s="180">
        <v>0.01</v>
      </c>
      <c r="G4" s="180">
        <v>1.5</v>
      </c>
      <c r="H4" s="180">
        <v>5.5</v>
      </c>
      <c r="I4" s="180">
        <v>7</v>
      </c>
      <c r="J4" s="180">
        <v>3</v>
      </c>
      <c r="K4" s="181">
        <v>3</v>
      </c>
      <c r="L4" s="245" t="s">
        <v>123</v>
      </c>
      <c r="M4" s="13"/>
      <c r="N4" s="13"/>
    </row>
    <row r="5" spans="2:14" ht="12.75">
      <c r="B5" s="45"/>
      <c r="C5" s="104" t="s">
        <v>57</v>
      </c>
      <c r="D5" s="246"/>
      <c r="E5" s="182">
        <v>-27.746596993742333</v>
      </c>
      <c r="F5" s="182">
        <v>282620.7716614003</v>
      </c>
      <c r="G5" s="182">
        <v>-53.93764394486268</v>
      </c>
      <c r="H5" s="182">
        <v>-30.252347008523156</v>
      </c>
      <c r="I5" s="182">
        <v>-25.86256059309951</v>
      </c>
      <c r="J5" s="182">
        <v>-31.42700404580676</v>
      </c>
      <c r="K5" s="183">
        <v>-1.2381666250242804</v>
      </c>
      <c r="L5" s="245" t="s">
        <v>124</v>
      </c>
      <c r="M5" s="13"/>
      <c r="N5" s="13"/>
    </row>
    <row r="6" spans="2:14" ht="12.75">
      <c r="B6" s="45"/>
      <c r="C6" s="105" t="s">
        <v>30</v>
      </c>
      <c r="D6" s="141"/>
      <c r="E6" s="112">
        <v>130</v>
      </c>
      <c r="F6" s="112">
        <v>100</v>
      </c>
      <c r="G6" s="112">
        <v>125</v>
      </c>
      <c r="H6" s="112">
        <v>115</v>
      </c>
      <c r="I6" s="112">
        <v>113</v>
      </c>
      <c r="J6" s="112">
        <v>115</v>
      </c>
      <c r="K6" s="113">
        <v>100</v>
      </c>
      <c r="L6" s="245" t="s">
        <v>67</v>
      </c>
      <c r="M6" s="13"/>
      <c r="N6" s="13"/>
    </row>
    <row r="7" spans="2:14" ht="12.75">
      <c r="B7" s="45"/>
      <c r="C7" s="103" t="s">
        <v>31</v>
      </c>
      <c r="D7" s="139">
        <f>E7+F7</f>
        <v>14.31</v>
      </c>
      <c r="E7" s="23">
        <f aca="true" t="shared" si="0" ref="E7:K7">(E4*E6)/100</f>
        <v>14.3</v>
      </c>
      <c r="F7" s="23">
        <f t="shared" si="0"/>
        <v>0.01</v>
      </c>
      <c r="G7" s="23">
        <f t="shared" si="0"/>
        <v>1.875</v>
      </c>
      <c r="H7" s="23">
        <f t="shared" si="0"/>
        <v>6.325</v>
      </c>
      <c r="I7" s="23">
        <f t="shared" si="0"/>
        <v>7.91</v>
      </c>
      <c r="J7" s="23">
        <f t="shared" si="0"/>
        <v>3.45</v>
      </c>
      <c r="K7" s="97">
        <f t="shared" si="0"/>
        <v>3</v>
      </c>
      <c r="L7" s="245"/>
      <c r="M7" s="13"/>
      <c r="N7" s="13"/>
    </row>
    <row r="8" spans="2:14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0.05</v>
      </c>
      <c r="I8" s="111">
        <v>2.13</v>
      </c>
      <c r="J8" s="111">
        <v>0.72</v>
      </c>
      <c r="K8" s="114">
        <v>0.99</v>
      </c>
      <c r="L8" s="245" t="s">
        <v>125</v>
      </c>
      <c r="M8" s="13"/>
      <c r="N8" s="13"/>
    </row>
    <row r="9" spans="2:14" ht="12.75">
      <c r="B9" s="45"/>
      <c r="C9" s="103" t="s">
        <v>56</v>
      </c>
      <c r="D9" s="139">
        <f>E9+F9</f>
        <v>13.99</v>
      </c>
      <c r="E9" s="23">
        <f aca="true" t="shared" si="1" ref="E9:K9">E7-E8</f>
        <v>13.98</v>
      </c>
      <c r="F9" s="23">
        <f t="shared" si="1"/>
        <v>0.01</v>
      </c>
      <c r="G9" s="23">
        <f t="shared" si="1"/>
        <v>1.875</v>
      </c>
      <c r="H9" s="23">
        <f t="shared" si="1"/>
        <v>6.275</v>
      </c>
      <c r="I9" s="23">
        <f t="shared" si="1"/>
        <v>5.78</v>
      </c>
      <c r="J9" s="23">
        <f t="shared" si="1"/>
        <v>2.7300000000000004</v>
      </c>
      <c r="K9" s="97">
        <f t="shared" si="1"/>
        <v>2.01</v>
      </c>
      <c r="L9" s="13"/>
      <c r="M9" s="13"/>
      <c r="N9" s="13"/>
    </row>
    <row r="10" spans="2:14" ht="13.5" thickBot="1">
      <c r="B10" s="41" t="s">
        <v>75</v>
      </c>
      <c r="C10" s="152" t="s">
        <v>74</v>
      </c>
      <c r="D10" s="156">
        <f>E10+F10</f>
        <v>195.85999999999999</v>
      </c>
      <c r="E10" s="153">
        <f>E9*14</f>
        <v>195.72</v>
      </c>
      <c r="F10" s="153">
        <f>F9*14</f>
        <v>0.14</v>
      </c>
      <c r="G10" s="153">
        <f>G9*71</f>
        <v>133.125</v>
      </c>
      <c r="H10" s="153">
        <f>H9*47</f>
        <v>294.925</v>
      </c>
      <c r="I10" s="153">
        <f>I9*28</f>
        <v>161.84</v>
      </c>
      <c r="J10" s="153">
        <f>J9*20</f>
        <v>54.60000000000001</v>
      </c>
      <c r="K10" s="154">
        <f>K9*16</f>
        <v>32.16</v>
      </c>
      <c r="L10" s="245" t="s">
        <v>126</v>
      </c>
      <c r="M10" s="13"/>
      <c r="N10" s="13"/>
    </row>
    <row r="11" spans="3:12" ht="12.75">
      <c r="C11" s="142"/>
      <c r="D11" s="142"/>
      <c r="E11" s="23"/>
      <c r="F11" s="23"/>
      <c r="G11" s="23"/>
      <c r="H11" s="23"/>
      <c r="I11" s="23"/>
      <c r="J11" s="23"/>
      <c r="K11" s="23"/>
      <c r="L11" s="245"/>
    </row>
    <row r="12" ht="13.5" thickBot="1">
      <c r="L12" s="247"/>
    </row>
    <row r="13" spans="2:12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247"/>
    </row>
    <row r="14" spans="1:12" ht="12.75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/>
      <c r="K14" s="188">
        <v>20</v>
      </c>
      <c r="L14" s="247" t="s">
        <v>127</v>
      </c>
    </row>
    <row r="15" spans="2:12" ht="12.75">
      <c r="B15" s="45"/>
      <c r="C15" s="143" t="s">
        <v>85</v>
      </c>
      <c r="D15" s="157">
        <f>E15+F15</f>
        <v>120</v>
      </c>
      <c r="E15" s="144">
        <f aca="true" t="shared" si="2" ref="E15:J15">E14*10</f>
        <v>101</v>
      </c>
      <c r="F15" s="144">
        <f t="shared" si="2"/>
        <v>19</v>
      </c>
      <c r="G15" s="144">
        <f t="shared" si="2"/>
        <v>120</v>
      </c>
      <c r="H15" s="144">
        <f t="shared" si="2"/>
        <v>360</v>
      </c>
      <c r="I15" s="144">
        <f t="shared" si="2"/>
        <v>0</v>
      </c>
      <c r="J15" s="144">
        <f t="shared" si="2"/>
        <v>0</v>
      </c>
      <c r="K15" s="145">
        <f>K14/2.5</f>
        <v>8</v>
      </c>
      <c r="L15" s="247"/>
    </row>
    <row r="16" spans="2:12" ht="12.75">
      <c r="B16" s="186">
        <v>1</v>
      </c>
      <c r="C16" s="133" t="s">
        <v>84</v>
      </c>
      <c r="D16" s="140">
        <f>E16+F16</f>
        <v>120</v>
      </c>
      <c r="E16" s="131">
        <f aca="true" t="shared" si="3" ref="E16:K16">E15*$B$16</f>
        <v>101</v>
      </c>
      <c r="F16" s="131">
        <f t="shared" si="3"/>
        <v>19</v>
      </c>
      <c r="G16" s="131">
        <f t="shared" si="3"/>
        <v>120</v>
      </c>
      <c r="H16" s="131">
        <f t="shared" si="3"/>
        <v>360</v>
      </c>
      <c r="I16" s="131">
        <f t="shared" si="3"/>
        <v>0</v>
      </c>
      <c r="J16" s="131">
        <f t="shared" si="3"/>
        <v>0</v>
      </c>
      <c r="K16" s="132">
        <f t="shared" si="3"/>
        <v>8</v>
      </c>
      <c r="L16" s="247" t="s">
        <v>128</v>
      </c>
    </row>
    <row r="17" spans="2:12" ht="12.75">
      <c r="B17" s="171"/>
      <c r="C17" s="202"/>
      <c r="D17" s="203">
        <f aca="true" t="shared" si="4" ref="D17:K17">D16/D10</f>
        <v>0.612682528336567</v>
      </c>
      <c r="E17" s="204">
        <f t="shared" si="4"/>
        <v>0.5160433272021255</v>
      </c>
      <c r="F17" s="204">
        <f t="shared" si="4"/>
        <v>135.7142857142857</v>
      </c>
      <c r="G17" s="204">
        <f t="shared" si="4"/>
        <v>0.9014084507042254</v>
      </c>
      <c r="H17" s="204">
        <f t="shared" si="4"/>
        <v>1.2206493176231246</v>
      </c>
      <c r="I17" s="204">
        <f t="shared" si="4"/>
        <v>0</v>
      </c>
      <c r="J17" s="204">
        <f t="shared" si="4"/>
        <v>0</v>
      </c>
      <c r="K17" s="205">
        <f t="shared" si="4"/>
        <v>0.24875621890547267</v>
      </c>
      <c r="L17" s="247" t="s">
        <v>129</v>
      </c>
    </row>
    <row r="18" spans="2:12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247"/>
    </row>
    <row r="19" spans="1:12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47"/>
    </row>
    <row r="20" spans="2:12" ht="12.75">
      <c r="B20" s="45"/>
      <c r="C20" s="143" t="s">
        <v>85</v>
      </c>
      <c r="D20" s="157">
        <f>E20+F20</f>
        <v>0</v>
      </c>
      <c r="E20" s="144">
        <f aca="true" t="shared" si="5" ref="E20:J20">E19*10</f>
        <v>0</v>
      </c>
      <c r="F20" s="144">
        <f t="shared" si="5"/>
        <v>0</v>
      </c>
      <c r="G20" s="144">
        <f t="shared" si="5"/>
        <v>0</v>
      </c>
      <c r="H20" s="144">
        <f t="shared" si="5"/>
        <v>0</v>
      </c>
      <c r="I20" s="144">
        <f t="shared" si="5"/>
        <v>0</v>
      </c>
      <c r="J20" s="144">
        <f t="shared" si="5"/>
        <v>160</v>
      </c>
      <c r="K20" s="145">
        <f>K19/2.5</f>
        <v>12.8</v>
      </c>
      <c r="L20" s="247"/>
    </row>
    <row r="21" spans="2:12" ht="12.75">
      <c r="B21" s="186">
        <v>0.35</v>
      </c>
      <c r="C21" s="133" t="s">
        <v>84</v>
      </c>
      <c r="D21" s="140">
        <f>E21+F21</f>
        <v>0</v>
      </c>
      <c r="E21" s="131">
        <f aca="true" t="shared" si="6" ref="E21:K21">E20*$B$21</f>
        <v>0</v>
      </c>
      <c r="F21" s="131">
        <f t="shared" si="6"/>
        <v>0</v>
      </c>
      <c r="G21" s="131">
        <f t="shared" si="6"/>
        <v>0</v>
      </c>
      <c r="H21" s="131">
        <f t="shared" si="6"/>
        <v>0</v>
      </c>
      <c r="I21" s="131">
        <f t="shared" si="6"/>
        <v>0</v>
      </c>
      <c r="J21" s="131">
        <f t="shared" si="6"/>
        <v>56</v>
      </c>
      <c r="K21" s="132">
        <f t="shared" si="6"/>
        <v>4.4799999999999995</v>
      </c>
      <c r="L21" s="247"/>
    </row>
    <row r="22" spans="2:12" ht="13.5" thickBot="1">
      <c r="B22" s="41"/>
      <c r="C22" s="146"/>
      <c r="D22" s="158">
        <f aca="true" t="shared" si="7" ref="D22:K22">D21/D10</f>
        <v>0</v>
      </c>
      <c r="E22" s="147">
        <f t="shared" si="7"/>
        <v>0</v>
      </c>
      <c r="F22" s="147">
        <f t="shared" si="7"/>
        <v>0</v>
      </c>
      <c r="G22" s="147">
        <f t="shared" si="7"/>
        <v>0</v>
      </c>
      <c r="H22" s="147">
        <f t="shared" si="7"/>
        <v>0</v>
      </c>
      <c r="I22" s="147">
        <f t="shared" si="7"/>
        <v>0</v>
      </c>
      <c r="J22" s="147">
        <f t="shared" si="7"/>
        <v>1.0256410256410255</v>
      </c>
      <c r="K22" s="148">
        <f t="shared" si="7"/>
        <v>0.13930348258706468</v>
      </c>
      <c r="L22" s="247"/>
    </row>
    <row r="23" spans="2:12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247"/>
    </row>
    <row r="24" spans="1:12" ht="12.75">
      <c r="A24" s="1" t="s">
        <v>89</v>
      </c>
      <c r="B24" s="189" t="s">
        <v>71</v>
      </c>
      <c r="C24" s="150" t="s">
        <v>73</v>
      </c>
      <c r="D24" s="160">
        <f>E24+F24</f>
        <v>15.5</v>
      </c>
      <c r="E24" s="190">
        <v>14.4</v>
      </c>
      <c r="F24" s="190">
        <v>1.1</v>
      </c>
      <c r="G24" s="190"/>
      <c r="H24" s="190"/>
      <c r="I24" s="190">
        <v>26.5</v>
      </c>
      <c r="J24" s="190"/>
      <c r="K24" s="191"/>
      <c r="L24" s="247"/>
    </row>
    <row r="25" spans="2:12" ht="12.75">
      <c r="B25" s="45"/>
      <c r="C25" s="143" t="s">
        <v>85</v>
      </c>
      <c r="D25" s="157">
        <f>E25+F25</f>
        <v>155</v>
      </c>
      <c r="E25" s="144">
        <f aca="true" t="shared" si="8" ref="E25:J25">E24*10</f>
        <v>144</v>
      </c>
      <c r="F25" s="144">
        <f t="shared" si="8"/>
        <v>11</v>
      </c>
      <c r="G25" s="144">
        <f t="shared" si="8"/>
        <v>0</v>
      </c>
      <c r="H25" s="144">
        <f t="shared" si="8"/>
        <v>0</v>
      </c>
      <c r="I25" s="144">
        <f t="shared" si="8"/>
        <v>265</v>
      </c>
      <c r="J25" s="144">
        <f t="shared" si="8"/>
        <v>0</v>
      </c>
      <c r="K25" s="145">
        <f>K24/2.5</f>
        <v>0</v>
      </c>
      <c r="L25" s="247"/>
    </row>
    <row r="26" spans="2:12" ht="12.75">
      <c r="B26" s="186">
        <v>0.6</v>
      </c>
      <c r="C26" s="133" t="s">
        <v>84</v>
      </c>
      <c r="D26" s="140">
        <f>E26+F26</f>
        <v>92.99999999999999</v>
      </c>
      <c r="E26" s="131">
        <f aca="true" t="shared" si="9" ref="E26:K26">E25*$B$26</f>
        <v>86.39999999999999</v>
      </c>
      <c r="F26" s="131">
        <f t="shared" si="9"/>
        <v>6.6</v>
      </c>
      <c r="G26" s="131">
        <f t="shared" si="9"/>
        <v>0</v>
      </c>
      <c r="H26" s="131">
        <f t="shared" si="9"/>
        <v>0</v>
      </c>
      <c r="I26" s="131">
        <f t="shared" si="9"/>
        <v>159</v>
      </c>
      <c r="J26" s="131">
        <f t="shared" si="9"/>
        <v>0</v>
      </c>
      <c r="K26" s="132">
        <f t="shared" si="9"/>
        <v>0</v>
      </c>
      <c r="L26" s="247"/>
    </row>
    <row r="27" spans="2:12" ht="13.5" thickBot="1">
      <c r="B27" s="41"/>
      <c r="C27" s="146"/>
      <c r="D27" s="158">
        <f aca="true" t="shared" si="10" ref="D27:K27">D26/D10</f>
        <v>0.47482895946083936</v>
      </c>
      <c r="E27" s="147">
        <f t="shared" si="10"/>
        <v>0.4414469650521152</v>
      </c>
      <c r="F27" s="147">
        <f t="shared" si="10"/>
        <v>47.14285714285714</v>
      </c>
      <c r="G27" s="147">
        <f t="shared" si="10"/>
        <v>0</v>
      </c>
      <c r="H27" s="147">
        <f t="shared" si="10"/>
        <v>0</v>
      </c>
      <c r="I27" s="147">
        <f t="shared" si="10"/>
        <v>0.9824518042511122</v>
      </c>
      <c r="J27" s="147">
        <f t="shared" si="10"/>
        <v>0</v>
      </c>
      <c r="K27" s="148">
        <f t="shared" si="10"/>
        <v>0</v>
      </c>
      <c r="L27" s="247"/>
    </row>
    <row r="28" spans="1:12" ht="14.25">
      <c r="A28" s="1" t="s">
        <v>107</v>
      </c>
      <c r="B28" s="184" t="s">
        <v>88</v>
      </c>
      <c r="C28" s="163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247"/>
    </row>
    <row r="29" spans="2:12" ht="12.75">
      <c r="B29" s="186">
        <v>13</v>
      </c>
      <c r="C29" s="143" t="s">
        <v>87</v>
      </c>
      <c r="D29" s="140">
        <f>E29+F29</f>
        <v>20.279999999999998</v>
      </c>
      <c r="E29" s="131">
        <f>B29*15.6/10</f>
        <v>20.279999999999998</v>
      </c>
      <c r="F29" s="131"/>
      <c r="G29" s="131"/>
      <c r="H29" s="131"/>
      <c r="I29" s="131"/>
      <c r="J29" s="131"/>
      <c r="K29" s="132"/>
      <c r="L29" s="247"/>
    </row>
    <row r="30" spans="2:12" ht="12.75">
      <c r="B30" s="166" t="s">
        <v>130</v>
      </c>
      <c r="C30" s="151" t="s">
        <v>76</v>
      </c>
      <c r="D30" s="161">
        <f aca="true" t="shared" si="11" ref="D30:K30">D16+D26+D29+D21</f>
        <v>233.28</v>
      </c>
      <c r="E30" s="162">
        <f t="shared" si="11"/>
        <v>207.67999999999998</v>
      </c>
      <c r="F30" s="162">
        <f t="shared" si="11"/>
        <v>25.6</v>
      </c>
      <c r="G30" s="162">
        <f t="shared" si="11"/>
        <v>120</v>
      </c>
      <c r="H30" s="162">
        <f t="shared" si="11"/>
        <v>360</v>
      </c>
      <c r="I30" s="162">
        <f t="shared" si="11"/>
        <v>159</v>
      </c>
      <c r="J30" s="162">
        <f t="shared" si="11"/>
        <v>56</v>
      </c>
      <c r="K30" s="215">
        <f t="shared" si="11"/>
        <v>12.48</v>
      </c>
      <c r="L30" s="247" t="s">
        <v>131</v>
      </c>
    </row>
    <row r="31" spans="2:12" ht="13.5" thickBot="1">
      <c r="B31" s="41"/>
      <c r="C31" s="42"/>
      <c r="D31" s="158">
        <f aca="true" t="shared" si="12" ref="D31:K31">D30/D10</f>
        <v>1.1910548350862862</v>
      </c>
      <c r="E31" s="147">
        <f t="shared" si="12"/>
        <v>1.0611077048845288</v>
      </c>
      <c r="F31" s="147">
        <f t="shared" si="12"/>
        <v>182.85714285714286</v>
      </c>
      <c r="G31" s="147">
        <f t="shared" si="12"/>
        <v>0.9014084507042254</v>
      </c>
      <c r="H31" s="147">
        <f t="shared" si="12"/>
        <v>1.2206493176231246</v>
      </c>
      <c r="I31" s="147">
        <f t="shared" si="12"/>
        <v>0.9824518042511122</v>
      </c>
      <c r="J31" s="147">
        <f t="shared" si="12"/>
        <v>1.0256410256410255</v>
      </c>
      <c r="K31" s="148">
        <f t="shared" si="12"/>
        <v>0.3880597014925374</v>
      </c>
      <c r="L31" s="247" t="s">
        <v>132</v>
      </c>
    </row>
    <row r="32" spans="5:11" ht="12.75" customHeight="1">
      <c r="E32" s="279" t="s">
        <v>103</v>
      </c>
      <c r="F32" s="279"/>
      <c r="G32" s="279"/>
      <c r="H32" s="279"/>
      <c r="I32" s="279"/>
      <c r="J32" s="279"/>
      <c r="K32" s="193"/>
    </row>
    <row r="33" spans="5:10" ht="13.5">
      <c r="E33" s="280" t="s">
        <v>104</v>
      </c>
      <c r="F33" s="280"/>
      <c r="G33" s="280"/>
      <c r="H33" s="280"/>
      <c r="I33" s="280"/>
      <c r="J33" s="280"/>
    </row>
    <row r="34" ht="18.75" thickBot="1">
      <c r="B34" s="169" t="s">
        <v>94</v>
      </c>
    </row>
    <row r="35" spans="5:12" ht="13.5" thickBot="1">
      <c r="E35" s="174" t="s">
        <v>100</v>
      </c>
      <c r="I35" s="123" t="s">
        <v>34</v>
      </c>
      <c r="J35" s="106" t="s">
        <v>105</v>
      </c>
      <c r="K35" s="267"/>
      <c r="L35" s="247" t="s">
        <v>136</v>
      </c>
    </row>
    <row r="36" spans="2:12" ht="12.75">
      <c r="B36" s="115"/>
      <c r="C36" s="106" t="s">
        <v>96</v>
      </c>
      <c r="D36" s="216" t="s">
        <v>97</v>
      </c>
      <c r="E36" s="192">
        <v>1000</v>
      </c>
      <c r="F36" s="175" t="s">
        <v>101</v>
      </c>
      <c r="G36" s="107" t="s">
        <v>98</v>
      </c>
      <c r="H36" s="107" t="s">
        <v>24</v>
      </c>
      <c r="I36" s="268">
        <f>(H30/47+H8)/(I30/28+I8)</f>
        <v>0.9873220138418541</v>
      </c>
      <c r="J36" s="23">
        <f>(H30/47+H8)/((I30/28+I8)+(J30/20+J8))</f>
        <v>0.6805425129457219</v>
      </c>
      <c r="K36" s="269" t="s">
        <v>111</v>
      </c>
      <c r="L36" s="247" t="s">
        <v>133</v>
      </c>
    </row>
    <row r="37" spans="2:12" ht="12.75">
      <c r="B37" s="170" t="s">
        <v>95</v>
      </c>
      <c r="C37" s="167" t="str">
        <f>B14</f>
        <v>Kristalon rouge</v>
      </c>
      <c r="D37" s="217">
        <v>10</v>
      </c>
      <c r="E37" s="176">
        <f>D37*$E$36/100</f>
        <v>100</v>
      </c>
      <c r="F37" s="177" t="s">
        <v>102</v>
      </c>
      <c r="G37" s="173">
        <f>B16/D37*10</f>
        <v>1</v>
      </c>
      <c r="H37" s="173">
        <f>(B16+B26+B21)/0.8</f>
        <v>2.4375</v>
      </c>
      <c r="I37" s="270">
        <v>0.9</v>
      </c>
      <c r="J37" s="242">
        <v>0.74</v>
      </c>
      <c r="K37" s="271" t="s">
        <v>112</v>
      </c>
      <c r="L37" s="247" t="s">
        <v>134</v>
      </c>
    </row>
    <row r="38" spans="2:12" ht="13.5" thickBot="1">
      <c r="B38" s="171"/>
      <c r="C38" s="168" t="str">
        <f>B19</f>
        <v>Sulfate de magnésie</v>
      </c>
      <c r="D38" s="218">
        <f>B21*100/G37/10</f>
        <v>3.5</v>
      </c>
      <c r="E38" s="219">
        <f>D38*$E$36/100</f>
        <v>35</v>
      </c>
      <c r="F38" s="178"/>
      <c r="G38" s="172"/>
      <c r="H38" s="172"/>
      <c r="I38" s="272" t="s">
        <v>24</v>
      </c>
      <c r="J38" s="234" t="s">
        <v>1</v>
      </c>
      <c r="K38" s="273"/>
      <c r="L38" s="247" t="s">
        <v>135</v>
      </c>
    </row>
    <row r="39" spans="2:12" ht="12.75">
      <c r="B39" s="170" t="s">
        <v>99</v>
      </c>
      <c r="C39" s="167" t="str">
        <f>B24</f>
        <v>Nitrate de calcium</v>
      </c>
      <c r="D39" s="217">
        <v>10</v>
      </c>
      <c r="E39" s="176">
        <f>D39*$E$36/100</f>
        <v>100</v>
      </c>
      <c r="F39" s="177" t="s">
        <v>102</v>
      </c>
      <c r="G39" s="173">
        <f>B26/D39*10</f>
        <v>0.6</v>
      </c>
      <c r="I39" s="27" t="s">
        <v>154</v>
      </c>
      <c r="J39" s="14" t="s">
        <v>149</v>
      </c>
      <c r="K39" s="269" t="s">
        <v>113</v>
      </c>
      <c r="L39" s="247"/>
    </row>
    <row r="40" spans="2:11" ht="13.5" thickBot="1">
      <c r="B40" s="41"/>
      <c r="C40" s="42" t="str">
        <f>B28</f>
        <v>Acide nitrique 60 %</v>
      </c>
      <c r="D40" s="218">
        <f>B29*100/G39/1000</f>
        <v>2.166666666666667</v>
      </c>
      <c r="E40" s="219">
        <f>D40*$E$36/100</f>
        <v>21.66666666666667</v>
      </c>
      <c r="F40" s="179" t="s">
        <v>101</v>
      </c>
      <c r="G40" s="72"/>
      <c r="I40" s="49" t="s">
        <v>150</v>
      </c>
      <c r="J40" s="50"/>
      <c r="K40" s="274" t="s">
        <v>114</v>
      </c>
    </row>
    <row r="42" spans="2:11" ht="12.75">
      <c r="B42" s="248" t="s">
        <v>137</v>
      </c>
      <c r="C42" s="249"/>
      <c r="D42" s="249"/>
      <c r="E42" s="250"/>
      <c r="F42" s="250"/>
      <c r="G42" s="250"/>
      <c r="H42" s="250"/>
      <c r="I42" s="250"/>
      <c r="J42" s="250"/>
      <c r="K42" s="251"/>
    </row>
    <row r="43" spans="2:11" ht="12.75">
      <c r="B43" s="252" t="s">
        <v>138</v>
      </c>
      <c r="C43" s="253"/>
      <c r="D43" s="253"/>
      <c r="E43" s="254"/>
      <c r="F43" s="254"/>
      <c r="G43" s="254"/>
      <c r="H43" s="254"/>
      <c r="I43" s="254"/>
      <c r="J43" s="254"/>
      <c r="K43" s="255"/>
    </row>
    <row r="44" spans="2:11" ht="12.75">
      <c r="B44" s="235" t="s">
        <v>139</v>
      </c>
      <c r="C44" s="236"/>
      <c r="D44" s="236"/>
      <c r="E44" s="236"/>
      <c r="F44" s="236"/>
      <c r="G44" s="236"/>
      <c r="H44" s="236"/>
      <c r="I44" s="236"/>
      <c r="J44" s="236"/>
      <c r="K44" s="237"/>
    </row>
  </sheetData>
  <sheetProtection password="8669" sheet="1" objects="1" scenarios="1"/>
  <mergeCells count="3">
    <mergeCell ref="C1:K1"/>
    <mergeCell ref="E32:J32"/>
    <mergeCell ref="E33:J33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9" r:id="rId3"/>
  <headerFooter alignWithMargins="0">
    <oddFooter>&amp;L&amp;"Arial,Normal"&amp;8VG/&amp;F/&amp;A&amp;RChâteauneuf&amp;D</oddFooter>
  </headerFooter>
  <legacyDrawing r:id="rId2"/>
  <oleObjects>
    <oleObject progId="Word.Picture.8" shapeId="113995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41" sqref="H41"/>
    </sheetView>
  </sheetViews>
  <sheetFormatPr defaultColWidth="11.421875" defaultRowHeight="12.75"/>
  <sheetData>
    <row r="1" spans="1:10" ht="12.75">
      <c r="A1" s="54" t="s">
        <v>47</v>
      </c>
      <c r="B1" s="55"/>
      <c r="C1" s="55"/>
      <c r="D1" s="55"/>
      <c r="E1" s="55"/>
      <c r="F1" s="55"/>
      <c r="G1" s="56"/>
      <c r="H1" s="1"/>
      <c r="I1" s="1"/>
      <c r="J1" s="1"/>
    </row>
    <row r="2" spans="1:10" ht="12.75">
      <c r="A2" s="45"/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46" t="s">
        <v>0</v>
      </c>
      <c r="H2" s="1"/>
      <c r="I2" s="1"/>
      <c r="J2" s="1"/>
    </row>
    <row r="3" spans="1:12" ht="12.75">
      <c r="A3" s="27" t="s">
        <v>1</v>
      </c>
      <c r="B3" s="14">
        <v>5.5</v>
      </c>
      <c r="C3" s="14"/>
      <c r="D3" s="47"/>
      <c r="E3" s="13"/>
      <c r="F3" s="13"/>
      <c r="G3" s="48"/>
      <c r="H3" s="1"/>
      <c r="I3" s="1"/>
      <c r="J3" s="1"/>
      <c r="L3" t="s">
        <v>68</v>
      </c>
    </row>
    <row r="4" spans="1:10" ht="15" thickBot="1">
      <c r="A4" s="49" t="s">
        <v>2</v>
      </c>
      <c r="B4" s="50">
        <v>1.7</v>
      </c>
      <c r="C4" s="51"/>
      <c r="D4" s="52"/>
      <c r="E4" s="42"/>
      <c r="F4" s="42"/>
      <c r="G4" s="53"/>
      <c r="H4" s="1"/>
      <c r="I4" s="1"/>
      <c r="J4" s="1"/>
    </row>
    <row r="5" spans="1:15" ht="12.75">
      <c r="A5" s="24"/>
      <c r="B5" s="25" t="s">
        <v>3</v>
      </c>
      <c r="C5" s="25" t="s">
        <v>4</v>
      </c>
      <c r="D5" s="26" t="s">
        <v>5</v>
      </c>
      <c r="E5" s="24"/>
      <c r="F5" s="25" t="s">
        <v>3</v>
      </c>
      <c r="G5" s="38" t="s">
        <v>6</v>
      </c>
      <c r="H5" s="2" t="s">
        <v>33</v>
      </c>
      <c r="I5" s="6" t="s">
        <v>35</v>
      </c>
      <c r="J5" s="6" t="s">
        <v>36</v>
      </c>
      <c r="L5" s="24"/>
      <c r="M5" s="25" t="s">
        <v>3</v>
      </c>
      <c r="N5" s="38" t="s">
        <v>6</v>
      </c>
      <c r="O5" s="7"/>
    </row>
    <row r="6" spans="1:15" ht="15.75">
      <c r="A6" s="27" t="s">
        <v>7</v>
      </c>
      <c r="B6" s="23">
        <f>C6*62.004</f>
        <v>666.543</v>
      </c>
      <c r="C6" s="23">
        <v>10.75</v>
      </c>
      <c r="D6" s="28">
        <f>C6</f>
        <v>10.75</v>
      </c>
      <c r="E6" s="27" t="s">
        <v>8</v>
      </c>
      <c r="F6" s="39">
        <f>G6*0.0558</f>
        <v>0.8370000000000001</v>
      </c>
      <c r="G6" s="28">
        <v>15</v>
      </c>
      <c r="H6" s="3">
        <f>D10/(D11+D12)</f>
        <v>0.2654867256637168</v>
      </c>
      <c r="I6" s="3">
        <f>D6+D7+D8</f>
        <v>15</v>
      </c>
      <c r="J6" s="3">
        <f>D9+D10+D11+D12</f>
        <v>15</v>
      </c>
      <c r="L6" s="27" t="s">
        <v>8</v>
      </c>
      <c r="M6" s="134">
        <v>0.035</v>
      </c>
      <c r="N6" s="137">
        <f>M6/0.0558</f>
        <v>0.6272401433691757</v>
      </c>
      <c r="O6" s="1"/>
    </row>
    <row r="7" spans="1:15" ht="15.75">
      <c r="A7" s="27" t="s">
        <v>9</v>
      </c>
      <c r="B7" s="23">
        <f>C7*96.986</f>
        <v>121.2325</v>
      </c>
      <c r="C7" s="23">
        <v>1.25</v>
      </c>
      <c r="D7" s="28">
        <f>C7</f>
        <v>1.25</v>
      </c>
      <c r="E7" s="27" t="s">
        <v>10</v>
      </c>
      <c r="F7" s="39">
        <f>G7*0.0549</f>
        <v>0.5489999999999999</v>
      </c>
      <c r="G7" s="28">
        <v>10</v>
      </c>
      <c r="H7" s="2" t="s">
        <v>34</v>
      </c>
      <c r="I7" s="13"/>
      <c r="J7" s="13"/>
      <c r="L7" s="27" t="s">
        <v>10</v>
      </c>
      <c r="M7" s="134">
        <v>0.036</v>
      </c>
      <c r="N7" s="137">
        <f>M7/0.0549</f>
        <v>0.6557377049180327</v>
      </c>
      <c r="O7" s="1"/>
    </row>
    <row r="8" spans="1:15" ht="15.75">
      <c r="A8" s="27" t="s">
        <v>11</v>
      </c>
      <c r="B8" s="23">
        <f>C8*96.056</f>
        <v>144.084</v>
      </c>
      <c r="C8" s="23">
        <v>1.5</v>
      </c>
      <c r="D8" s="28">
        <f>C8*2</f>
        <v>3</v>
      </c>
      <c r="E8" s="27" t="s">
        <v>12</v>
      </c>
      <c r="F8" s="39">
        <f>G8*0.0654</f>
        <v>0.2616</v>
      </c>
      <c r="G8" s="28">
        <v>4</v>
      </c>
      <c r="H8" s="3">
        <f>D10/D11</f>
        <v>0.4109589041095891</v>
      </c>
      <c r="I8" s="14"/>
      <c r="J8" s="14"/>
      <c r="L8" s="27" t="s">
        <v>12</v>
      </c>
      <c r="M8" s="134">
        <v>0.82</v>
      </c>
      <c r="N8" s="137">
        <f>M8/0.0654</f>
        <v>12.53822629969419</v>
      </c>
      <c r="O8" s="1"/>
    </row>
    <row r="9" spans="1:15" ht="14.25">
      <c r="A9" s="29" t="s">
        <v>40</v>
      </c>
      <c r="B9" s="30">
        <f>C9*18.039</f>
        <v>12.6273</v>
      </c>
      <c r="C9" s="30">
        <v>0.7</v>
      </c>
      <c r="D9" s="31">
        <f>C9</f>
        <v>0.7</v>
      </c>
      <c r="E9" s="32" t="s">
        <v>14</v>
      </c>
      <c r="F9" s="40">
        <f>G9*0.0108</f>
        <v>0.324</v>
      </c>
      <c r="G9" s="34">
        <v>30</v>
      </c>
      <c r="H9" s="1"/>
      <c r="I9" s="3"/>
      <c r="J9" s="15"/>
      <c r="L9" s="32" t="s">
        <v>14</v>
      </c>
      <c r="M9" s="135">
        <v>0.05</v>
      </c>
      <c r="N9" s="137">
        <f>M9/0.0108</f>
        <v>4.62962962962963</v>
      </c>
      <c r="O9" s="1"/>
    </row>
    <row r="10" spans="1:15" ht="12.75">
      <c r="A10" s="29" t="s">
        <v>15</v>
      </c>
      <c r="B10" s="30">
        <f>C10*39.102</f>
        <v>117.30599999999998</v>
      </c>
      <c r="C10" s="30">
        <v>3</v>
      </c>
      <c r="D10" s="31">
        <f>C10</f>
        <v>3</v>
      </c>
      <c r="E10" s="27" t="s">
        <v>16</v>
      </c>
      <c r="F10" s="39">
        <f>G10*0.0635</f>
        <v>0.047625</v>
      </c>
      <c r="G10" s="28">
        <v>0.75</v>
      </c>
      <c r="H10" s="14" t="s">
        <v>37</v>
      </c>
      <c r="I10" s="1"/>
      <c r="J10" s="1"/>
      <c r="L10" s="27" t="s">
        <v>16</v>
      </c>
      <c r="M10" s="134">
        <v>0.012</v>
      </c>
      <c r="N10" s="137">
        <f>M10/0.0635</f>
        <v>0.1889763779527559</v>
      </c>
      <c r="O10" s="1"/>
    </row>
    <row r="11" spans="1:15" ht="13.5" thickBot="1">
      <c r="A11" s="32" t="s">
        <v>17</v>
      </c>
      <c r="B11" s="33">
        <f>C11*40.08</f>
        <v>146.292</v>
      </c>
      <c r="C11" s="33">
        <v>3.65</v>
      </c>
      <c r="D11" s="34">
        <f>C11*2</f>
        <v>7.3</v>
      </c>
      <c r="E11" s="27" t="s">
        <v>18</v>
      </c>
      <c r="F11" s="39">
        <f>G11*0.0959</f>
        <v>0.04795</v>
      </c>
      <c r="G11" s="28">
        <v>0.5</v>
      </c>
      <c r="H11" s="3">
        <f>SUM(C6:C12)</f>
        <v>22.849999999999998</v>
      </c>
      <c r="I11" s="1"/>
      <c r="J11" s="1"/>
      <c r="L11" s="49" t="s">
        <v>18</v>
      </c>
      <c r="M11" s="136">
        <v>0.048</v>
      </c>
      <c r="N11" s="138">
        <f>M11/0.0959</f>
        <v>0.5005213764337852</v>
      </c>
      <c r="O11" s="1"/>
    </row>
    <row r="12" spans="1:15" ht="13.5" thickBot="1">
      <c r="A12" s="35" t="s">
        <v>19</v>
      </c>
      <c r="B12" s="36">
        <f>C12*24.305</f>
        <v>48.61</v>
      </c>
      <c r="C12" s="36">
        <v>2</v>
      </c>
      <c r="D12" s="37">
        <f>C12*2</f>
        <v>4</v>
      </c>
      <c r="E12" s="41"/>
      <c r="F12" s="42"/>
      <c r="G12" s="43"/>
      <c r="H12" s="1"/>
      <c r="I12" s="1"/>
      <c r="J12" s="1"/>
      <c r="L12" s="3"/>
      <c r="M12" s="1"/>
      <c r="N12" s="1"/>
      <c r="O12" s="1"/>
    </row>
    <row r="13" ht="13.5" thickBot="1"/>
    <row r="14" spans="1:10" ht="12.75">
      <c r="A14" s="57" t="s">
        <v>46</v>
      </c>
      <c r="B14" s="58"/>
      <c r="C14" s="58"/>
      <c r="D14" s="58"/>
      <c r="E14" s="58"/>
      <c r="F14" s="58"/>
      <c r="G14" s="59"/>
      <c r="H14" s="1"/>
      <c r="I14" s="1"/>
      <c r="J14" s="1"/>
    </row>
    <row r="15" spans="1:10" ht="12.75">
      <c r="A15" s="45"/>
      <c r="B15" s="14" t="s">
        <v>0</v>
      </c>
      <c r="C15" s="14" t="s">
        <v>0</v>
      </c>
      <c r="D15" s="14" t="s">
        <v>0</v>
      </c>
      <c r="E15" s="14" t="s">
        <v>0</v>
      </c>
      <c r="F15" s="14" t="s">
        <v>0</v>
      </c>
      <c r="G15" s="46" t="s">
        <v>0</v>
      </c>
      <c r="H15" s="1"/>
      <c r="I15" s="1"/>
      <c r="J15" s="1"/>
    </row>
    <row r="16" spans="1:10" ht="12.75">
      <c r="A16" s="27" t="s">
        <v>1</v>
      </c>
      <c r="B16" s="14">
        <v>5.5</v>
      </c>
      <c r="C16" s="14"/>
      <c r="D16" s="47"/>
      <c r="E16" s="13"/>
      <c r="F16" s="13"/>
      <c r="G16" s="48"/>
      <c r="H16" s="1"/>
      <c r="I16" s="1"/>
      <c r="J16" s="1"/>
    </row>
    <row r="17" spans="1:10" ht="15" thickBot="1">
      <c r="A17" s="49" t="s">
        <v>2</v>
      </c>
      <c r="B17" s="50">
        <v>1.7</v>
      </c>
      <c r="C17" s="51"/>
      <c r="D17" s="52"/>
      <c r="E17" s="42"/>
      <c r="F17" s="42"/>
      <c r="G17" s="53"/>
      <c r="H17" s="1"/>
      <c r="I17" s="1"/>
      <c r="J17" s="1"/>
    </row>
    <row r="18" spans="1:10" ht="12.75">
      <c r="A18" s="24"/>
      <c r="B18" s="25" t="s">
        <v>3</v>
      </c>
      <c r="C18" s="25" t="s">
        <v>4</v>
      </c>
      <c r="D18" s="26" t="s">
        <v>5</v>
      </c>
      <c r="E18" s="24"/>
      <c r="F18" s="25" t="s">
        <v>3</v>
      </c>
      <c r="G18" s="38" t="s">
        <v>6</v>
      </c>
      <c r="H18" s="2" t="s">
        <v>33</v>
      </c>
      <c r="I18" s="6" t="s">
        <v>35</v>
      </c>
      <c r="J18" s="6" t="s">
        <v>36</v>
      </c>
    </row>
    <row r="19" spans="1:10" ht="14.25">
      <c r="A19" s="32" t="s">
        <v>41</v>
      </c>
      <c r="B19" s="33">
        <f>C19*62.004</f>
        <v>728.547</v>
      </c>
      <c r="C19" s="33">
        <v>11.75</v>
      </c>
      <c r="D19" s="34">
        <f>C19</f>
        <v>11.75</v>
      </c>
      <c r="E19" s="27" t="s">
        <v>8</v>
      </c>
      <c r="F19" s="39">
        <f>G19*0.0558</f>
        <v>0.8370000000000001</v>
      </c>
      <c r="G19" s="28">
        <v>15</v>
      </c>
      <c r="H19" s="3">
        <f>D23/(D24+D25)</f>
        <v>0.5851063829787234</v>
      </c>
      <c r="I19" s="3">
        <f>D19+D20+D21</f>
        <v>16</v>
      </c>
      <c r="J19" s="3">
        <f>D22+D23+D24+D25</f>
        <v>16</v>
      </c>
    </row>
    <row r="20" spans="1:10" ht="15.75">
      <c r="A20" s="27" t="s">
        <v>9</v>
      </c>
      <c r="B20" s="23">
        <f>C20*96.986</f>
        <v>121.2325</v>
      </c>
      <c r="C20" s="23">
        <v>1.25</v>
      </c>
      <c r="D20" s="28">
        <f>C20</f>
        <v>1.25</v>
      </c>
      <c r="E20" s="27" t="s">
        <v>10</v>
      </c>
      <c r="F20" s="39">
        <f>G20*0.0549</f>
        <v>0.5489999999999999</v>
      </c>
      <c r="G20" s="28">
        <v>10</v>
      </c>
      <c r="H20" s="2" t="s">
        <v>34</v>
      </c>
      <c r="I20" s="13"/>
      <c r="J20" s="13"/>
    </row>
    <row r="21" spans="1:10" ht="15.75">
      <c r="A21" s="27" t="s">
        <v>11</v>
      </c>
      <c r="B21" s="23">
        <f>C21*96.056</f>
        <v>144.084</v>
      </c>
      <c r="C21" s="23">
        <v>1.5</v>
      </c>
      <c r="D21" s="28">
        <f>C21*2</f>
        <v>3</v>
      </c>
      <c r="E21" s="27" t="s">
        <v>12</v>
      </c>
      <c r="F21" s="39">
        <f>G21*0.0654</f>
        <v>0.2616</v>
      </c>
      <c r="G21" s="28">
        <v>4</v>
      </c>
      <c r="H21" s="3">
        <f>D23/D24</f>
        <v>0.859375</v>
      </c>
      <c r="I21" s="14"/>
      <c r="J21" s="14"/>
    </row>
    <row r="22" spans="1:10" ht="14.25">
      <c r="A22" s="32" t="s">
        <v>39</v>
      </c>
      <c r="B22" s="33">
        <f>C22*18.039</f>
        <v>19.842900000000004</v>
      </c>
      <c r="C22" s="33">
        <v>1.1</v>
      </c>
      <c r="D22" s="34">
        <f>C22</f>
        <v>1.1</v>
      </c>
      <c r="E22" s="27" t="s">
        <v>14</v>
      </c>
      <c r="F22" s="39">
        <f>G22*0.0108</f>
        <v>0.21600000000000003</v>
      </c>
      <c r="G22" s="28">
        <v>20</v>
      </c>
      <c r="H22" s="1"/>
      <c r="I22" s="3"/>
      <c r="J22" s="15"/>
    </row>
    <row r="23" spans="1:10" ht="12.75">
      <c r="A23" s="29" t="s">
        <v>15</v>
      </c>
      <c r="B23" s="30">
        <f>C23*39.102</f>
        <v>215.06099999999998</v>
      </c>
      <c r="C23" s="30">
        <v>5.5</v>
      </c>
      <c r="D23" s="31">
        <f>C23</f>
        <v>5.5</v>
      </c>
      <c r="E23" s="27" t="s">
        <v>16</v>
      </c>
      <c r="F23" s="39">
        <f>G23*0.0635</f>
        <v>0.047625</v>
      </c>
      <c r="G23" s="28">
        <v>0.75</v>
      </c>
      <c r="H23" s="14" t="s">
        <v>37</v>
      </c>
      <c r="I23" s="1"/>
      <c r="J23" s="1"/>
    </row>
    <row r="24" spans="1:10" ht="12.75">
      <c r="A24" s="32" t="s">
        <v>17</v>
      </c>
      <c r="B24" s="33">
        <f>C24*40.08</f>
        <v>128.256</v>
      </c>
      <c r="C24" s="33">
        <v>3.2</v>
      </c>
      <c r="D24" s="34">
        <f>C24*2</f>
        <v>6.4</v>
      </c>
      <c r="E24" s="27" t="s">
        <v>18</v>
      </c>
      <c r="F24" s="39">
        <f>G24*0.0959</f>
        <v>0.04795</v>
      </c>
      <c r="G24" s="28">
        <v>0.5</v>
      </c>
      <c r="H24" s="3">
        <f>SUM(C19:C25)</f>
        <v>25.8</v>
      </c>
      <c r="I24" s="1"/>
      <c r="J24" s="1"/>
    </row>
    <row r="25" spans="1:10" ht="13.5" thickBot="1">
      <c r="A25" s="35" t="s">
        <v>19</v>
      </c>
      <c r="B25" s="36">
        <f>C25*24.305</f>
        <v>36.457499999999996</v>
      </c>
      <c r="C25" s="36">
        <v>1.5</v>
      </c>
      <c r="D25" s="37">
        <f>C25*2</f>
        <v>3</v>
      </c>
      <c r="E25" s="41"/>
      <c r="F25" s="42"/>
      <c r="G25" s="43"/>
      <c r="H25" s="1"/>
      <c r="I25" s="1"/>
      <c r="J25" s="1"/>
    </row>
    <row r="26" ht="13.5" thickBot="1"/>
    <row r="27" spans="1:10" ht="12.75">
      <c r="A27" s="61" t="s">
        <v>45</v>
      </c>
      <c r="B27" s="62"/>
      <c r="C27" s="62"/>
      <c r="D27" s="62"/>
      <c r="E27" s="62"/>
      <c r="F27" s="62"/>
      <c r="G27" s="63"/>
      <c r="H27" s="1"/>
      <c r="I27" s="1"/>
      <c r="J27" s="1"/>
    </row>
    <row r="28" spans="1:10" ht="12.75">
      <c r="A28" s="45"/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46" t="s">
        <v>0</v>
      </c>
      <c r="H28" s="1"/>
      <c r="I28" s="1"/>
      <c r="J28" s="1"/>
    </row>
    <row r="29" spans="1:10" ht="12.75">
      <c r="A29" s="27" t="s">
        <v>1</v>
      </c>
      <c r="B29" s="14">
        <v>5.5</v>
      </c>
      <c r="C29" s="14"/>
      <c r="D29" s="47"/>
      <c r="E29" s="13"/>
      <c r="F29" s="13"/>
      <c r="G29" s="48"/>
      <c r="H29" s="1"/>
      <c r="I29" s="1"/>
      <c r="J29" s="1"/>
    </row>
    <row r="30" spans="1:10" ht="15" thickBot="1">
      <c r="A30" s="49" t="s">
        <v>2</v>
      </c>
      <c r="B30" s="50">
        <v>1.7</v>
      </c>
      <c r="C30" s="51"/>
      <c r="D30" s="52"/>
      <c r="E30" s="42"/>
      <c r="F30" s="42"/>
      <c r="G30" s="53"/>
      <c r="H30" s="1"/>
      <c r="I30" s="1"/>
      <c r="J30" s="1"/>
    </row>
    <row r="31" spans="1:10" ht="12.75">
      <c r="A31" s="24"/>
      <c r="B31" s="25" t="s">
        <v>3</v>
      </c>
      <c r="C31" s="25" t="s">
        <v>4</v>
      </c>
      <c r="D31" s="26" t="s">
        <v>5</v>
      </c>
      <c r="E31" s="24"/>
      <c r="F31" s="25" t="s">
        <v>3</v>
      </c>
      <c r="G31" s="38" t="s">
        <v>6</v>
      </c>
      <c r="H31" s="2" t="s">
        <v>33</v>
      </c>
      <c r="I31" s="6" t="s">
        <v>35</v>
      </c>
      <c r="J31" s="6" t="s">
        <v>36</v>
      </c>
    </row>
    <row r="32" spans="1:10" ht="15.75">
      <c r="A32" s="27" t="s">
        <v>7</v>
      </c>
      <c r="B32" s="23">
        <f>C32*62.004</f>
        <v>666.543</v>
      </c>
      <c r="C32" s="23">
        <v>10.75</v>
      </c>
      <c r="D32" s="28">
        <f>C32</f>
        <v>10.75</v>
      </c>
      <c r="E32" s="27" t="s">
        <v>8</v>
      </c>
      <c r="F32" s="39">
        <f>G32*0.0558</f>
        <v>0.8370000000000001</v>
      </c>
      <c r="G32" s="28">
        <v>15</v>
      </c>
      <c r="H32" s="3">
        <f>D36/(D37+D38)</f>
        <v>0.6547619047619048</v>
      </c>
      <c r="I32" s="3">
        <f>D32+D33+D34</f>
        <v>15</v>
      </c>
      <c r="J32" s="3">
        <f>D35+D36+D37+D38</f>
        <v>15</v>
      </c>
    </row>
    <row r="33" spans="1:10" ht="15.75">
      <c r="A33" s="27" t="s">
        <v>9</v>
      </c>
      <c r="B33" s="23">
        <f>C33*96.986</f>
        <v>121.2325</v>
      </c>
      <c r="C33" s="23">
        <v>1.25</v>
      </c>
      <c r="D33" s="28">
        <f>C33</f>
        <v>1.25</v>
      </c>
      <c r="E33" s="27" t="s">
        <v>10</v>
      </c>
      <c r="F33" s="39">
        <f>G33*0.0549</f>
        <v>0.5489999999999999</v>
      </c>
      <c r="G33" s="28">
        <v>10</v>
      </c>
      <c r="H33" s="2" t="s">
        <v>34</v>
      </c>
      <c r="I33" s="13"/>
      <c r="J33" s="13"/>
    </row>
    <row r="34" spans="1:10" ht="15.75">
      <c r="A34" s="27" t="s">
        <v>11</v>
      </c>
      <c r="B34" s="23">
        <f>C34*96.056</f>
        <v>144.084</v>
      </c>
      <c r="C34" s="23">
        <v>1.5</v>
      </c>
      <c r="D34" s="28">
        <f>C34*2</f>
        <v>3</v>
      </c>
      <c r="E34" s="27" t="s">
        <v>12</v>
      </c>
      <c r="F34" s="39">
        <f>G34*0.0654</f>
        <v>0.2616</v>
      </c>
      <c r="G34" s="28">
        <v>4</v>
      </c>
      <c r="H34" s="3">
        <f>D36/D37</f>
        <v>0.859375</v>
      </c>
      <c r="I34" s="14"/>
      <c r="J34" s="14"/>
    </row>
    <row r="35" spans="1:10" ht="14.25">
      <c r="A35" s="32" t="s">
        <v>39</v>
      </c>
      <c r="B35" s="33">
        <f>C35*18.039</f>
        <v>19.842900000000004</v>
      </c>
      <c r="C35" s="33">
        <v>1.1</v>
      </c>
      <c r="D35" s="34">
        <f>C35</f>
        <v>1.1</v>
      </c>
      <c r="E35" s="27" t="s">
        <v>14</v>
      </c>
      <c r="F35" s="39">
        <f>G35*0.0108</f>
        <v>0.21600000000000003</v>
      </c>
      <c r="G35" s="28">
        <v>20</v>
      </c>
      <c r="H35" s="1"/>
      <c r="I35" s="3"/>
      <c r="J35" s="15"/>
    </row>
    <row r="36" spans="1:10" ht="12.75">
      <c r="A36" s="29" t="s">
        <v>15</v>
      </c>
      <c r="B36" s="30">
        <f>C36*39.102</f>
        <v>215.06099999999998</v>
      </c>
      <c r="C36" s="30">
        <v>5.5</v>
      </c>
      <c r="D36" s="31">
        <f>C36</f>
        <v>5.5</v>
      </c>
      <c r="E36" s="27" t="s">
        <v>16</v>
      </c>
      <c r="F36" s="39">
        <f>G36*0.0635</f>
        <v>0.047625</v>
      </c>
      <c r="G36" s="28">
        <v>0.75</v>
      </c>
      <c r="H36" s="14" t="s">
        <v>37</v>
      </c>
      <c r="I36" s="1"/>
      <c r="J36" s="1"/>
    </row>
    <row r="37" spans="1:10" ht="12.75">
      <c r="A37" s="32" t="s">
        <v>17</v>
      </c>
      <c r="B37" s="33">
        <f>C37*40.08</f>
        <v>128.256</v>
      </c>
      <c r="C37" s="33">
        <v>3.2</v>
      </c>
      <c r="D37" s="34">
        <f>C37*2</f>
        <v>6.4</v>
      </c>
      <c r="E37" s="27" t="s">
        <v>18</v>
      </c>
      <c r="F37" s="39">
        <f>G37*0.0959</f>
        <v>0.04795</v>
      </c>
      <c r="G37" s="28">
        <v>0.5</v>
      </c>
      <c r="H37" s="3">
        <f>SUM(C32:C38)</f>
        <v>24.3</v>
      </c>
      <c r="I37" s="1"/>
      <c r="J37" s="1"/>
    </row>
    <row r="38" spans="1:10" ht="13.5" thickBot="1">
      <c r="A38" s="49" t="s">
        <v>19</v>
      </c>
      <c r="B38" s="51">
        <f>C38*24.305</f>
        <v>24.305</v>
      </c>
      <c r="C38" s="51">
        <v>1</v>
      </c>
      <c r="D38" s="60">
        <f>C38*2</f>
        <v>2</v>
      </c>
      <c r="E38" s="41"/>
      <c r="F38" s="42"/>
      <c r="G38" s="43"/>
      <c r="H38" s="1"/>
      <c r="I38" s="1"/>
      <c r="J38" s="1"/>
    </row>
    <row r="39" spans="1:10" ht="13.5" thickBot="1">
      <c r="A39" s="98"/>
      <c r="B39" s="99"/>
      <c r="C39" s="99"/>
      <c r="D39" s="100"/>
      <c r="E39" s="101"/>
      <c r="F39" s="101"/>
      <c r="G39" s="99"/>
      <c r="H39" s="1"/>
      <c r="I39" s="1"/>
      <c r="J39" s="1"/>
    </row>
    <row r="40" spans="1:10" ht="12.75">
      <c r="A40" s="64" t="s">
        <v>43</v>
      </c>
      <c r="B40" s="65"/>
      <c r="C40" s="65"/>
      <c r="D40" s="65"/>
      <c r="E40" s="65"/>
      <c r="F40" s="65"/>
      <c r="G40" s="66"/>
      <c r="H40" s="1"/>
      <c r="I40" s="1"/>
      <c r="J40" s="1"/>
    </row>
    <row r="41" spans="1:10" ht="12.75">
      <c r="A41" s="45"/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G41" s="46" t="s">
        <v>0</v>
      </c>
      <c r="H41" s="1"/>
      <c r="I41" s="1"/>
      <c r="J41" s="1"/>
    </row>
    <row r="42" spans="1:10" ht="12.75">
      <c r="A42" s="27" t="s">
        <v>1</v>
      </c>
      <c r="B42" s="14">
        <v>5.5</v>
      </c>
      <c r="C42" s="14"/>
      <c r="D42" s="47"/>
      <c r="E42" s="13"/>
      <c r="F42" s="13"/>
      <c r="G42" s="48"/>
      <c r="H42" s="1"/>
      <c r="I42" s="1"/>
      <c r="J42" s="1"/>
    </row>
    <row r="43" spans="1:10" ht="15" thickBot="1">
      <c r="A43" s="49" t="s">
        <v>2</v>
      </c>
      <c r="B43" s="50">
        <v>1.7</v>
      </c>
      <c r="C43" s="51"/>
      <c r="D43" s="52"/>
      <c r="E43" s="42"/>
      <c r="F43" s="42"/>
      <c r="G43" s="53"/>
      <c r="H43" s="1"/>
      <c r="I43" s="1"/>
      <c r="J43" s="1"/>
    </row>
    <row r="44" spans="1:10" ht="12.75">
      <c r="A44" s="24"/>
      <c r="B44" s="25" t="s">
        <v>3</v>
      </c>
      <c r="C44" s="25" t="s">
        <v>4</v>
      </c>
      <c r="D44" s="26" t="s">
        <v>5</v>
      </c>
      <c r="E44" s="24"/>
      <c r="F44" s="25" t="s">
        <v>3</v>
      </c>
      <c r="G44" s="38" t="s">
        <v>6</v>
      </c>
      <c r="H44" s="2" t="s">
        <v>33</v>
      </c>
      <c r="I44" s="6" t="s">
        <v>35</v>
      </c>
      <c r="J44" s="6" t="s">
        <v>36</v>
      </c>
    </row>
    <row r="45" spans="1:10" ht="15.75">
      <c r="A45" s="27" t="s">
        <v>7</v>
      </c>
      <c r="B45" s="23">
        <f>C45*62.004</f>
        <v>666.543</v>
      </c>
      <c r="C45" s="23">
        <v>10.75</v>
      </c>
      <c r="D45" s="28">
        <f>C45</f>
        <v>10.75</v>
      </c>
      <c r="E45" s="27" t="s">
        <v>8</v>
      </c>
      <c r="F45" s="39">
        <f>G45*0.0558</f>
        <v>0.8370000000000001</v>
      </c>
      <c r="G45" s="28">
        <v>15</v>
      </c>
      <c r="H45" s="3">
        <f>D49/(D50+D51)</f>
        <v>0.8666666666666667</v>
      </c>
      <c r="I45" s="3">
        <f>D45+D46+D47</f>
        <v>15</v>
      </c>
      <c r="J45" s="3">
        <f>D48+D49+D50+D51</f>
        <v>15</v>
      </c>
    </row>
    <row r="46" spans="1:10" ht="15.75">
      <c r="A46" s="27" t="s">
        <v>9</v>
      </c>
      <c r="B46" s="23">
        <f>C46*96.986</f>
        <v>121.2325</v>
      </c>
      <c r="C46" s="23">
        <v>1.25</v>
      </c>
      <c r="D46" s="28">
        <f>C46</f>
        <v>1.25</v>
      </c>
      <c r="E46" s="27" t="s">
        <v>10</v>
      </c>
      <c r="F46" s="39">
        <f>G46*0.0549</f>
        <v>0.5489999999999999</v>
      </c>
      <c r="G46" s="28">
        <v>10</v>
      </c>
      <c r="H46" s="2" t="s">
        <v>34</v>
      </c>
      <c r="I46" s="13"/>
      <c r="J46" s="13"/>
    </row>
    <row r="47" spans="1:10" ht="15.75">
      <c r="A47" s="27" t="s">
        <v>11</v>
      </c>
      <c r="B47" s="23">
        <f>C47*96.056</f>
        <v>144.084</v>
      </c>
      <c r="C47" s="23">
        <v>1.5</v>
      </c>
      <c r="D47" s="28">
        <f>C47*2</f>
        <v>3</v>
      </c>
      <c r="E47" s="27" t="s">
        <v>12</v>
      </c>
      <c r="F47" s="39">
        <f>G47*0.0654</f>
        <v>0.2616</v>
      </c>
      <c r="G47" s="28">
        <v>4</v>
      </c>
      <c r="H47" s="3">
        <f>D49/D50</f>
        <v>1.1818181818181819</v>
      </c>
      <c r="I47" s="14"/>
      <c r="J47" s="14"/>
    </row>
    <row r="48" spans="1:10" ht="15.75">
      <c r="A48" s="27" t="s">
        <v>13</v>
      </c>
      <c r="B48" s="23">
        <f>C48*18.039</f>
        <v>18.039</v>
      </c>
      <c r="C48" s="23">
        <v>1</v>
      </c>
      <c r="D48" s="28">
        <f>C48</f>
        <v>1</v>
      </c>
      <c r="E48" s="27" t="s">
        <v>14</v>
      </c>
      <c r="F48" s="39">
        <f>G48*0.0108</f>
        <v>0.21600000000000003</v>
      </c>
      <c r="G48" s="28">
        <v>20</v>
      </c>
      <c r="H48" s="1"/>
      <c r="I48" s="3"/>
      <c r="J48" s="15"/>
    </row>
    <row r="49" spans="1:10" ht="12.75">
      <c r="A49" s="27" t="s">
        <v>15</v>
      </c>
      <c r="B49" s="23">
        <f>C49*39.102</f>
        <v>254.16299999999998</v>
      </c>
      <c r="C49" s="23">
        <v>6.5</v>
      </c>
      <c r="D49" s="28">
        <f>C49</f>
        <v>6.5</v>
      </c>
      <c r="E49" s="27" t="s">
        <v>16</v>
      </c>
      <c r="F49" s="39">
        <f>G49*0.0635</f>
        <v>0.047625</v>
      </c>
      <c r="G49" s="28">
        <v>0.75</v>
      </c>
      <c r="H49" s="14" t="s">
        <v>37</v>
      </c>
      <c r="I49" s="1"/>
      <c r="J49" s="1"/>
    </row>
    <row r="50" spans="1:10" ht="12.75">
      <c r="A50" s="27" t="s">
        <v>17</v>
      </c>
      <c r="B50" s="23">
        <f>C50*40.08</f>
        <v>110.22</v>
      </c>
      <c r="C50" s="23">
        <v>2.75</v>
      </c>
      <c r="D50" s="28">
        <f>C50*2</f>
        <v>5.5</v>
      </c>
      <c r="E50" s="27" t="s">
        <v>18</v>
      </c>
      <c r="F50" s="39">
        <f>G50*0.0959</f>
        <v>0.04795</v>
      </c>
      <c r="G50" s="28">
        <v>0.5</v>
      </c>
      <c r="H50" s="3">
        <f>SUM(C45:C51)</f>
        <v>24.75</v>
      </c>
      <c r="I50" s="1"/>
      <c r="J50" s="1"/>
    </row>
    <row r="51" spans="1:10" ht="13.5" thickBot="1">
      <c r="A51" s="49" t="s">
        <v>19</v>
      </c>
      <c r="B51" s="51">
        <f>C51*24.305</f>
        <v>24.305</v>
      </c>
      <c r="C51" s="51">
        <v>1</v>
      </c>
      <c r="D51" s="60">
        <f>C51*2</f>
        <v>2</v>
      </c>
      <c r="E51" s="41"/>
      <c r="F51" s="42"/>
      <c r="G51" s="43"/>
      <c r="H51" s="1"/>
      <c r="I51" s="1"/>
      <c r="J51" s="1"/>
    </row>
    <row r="52" ht="13.5" thickBot="1"/>
    <row r="53" spans="1:10" ht="14.25">
      <c r="A53" s="73" t="s">
        <v>42</v>
      </c>
      <c r="B53" s="74"/>
      <c r="C53" s="74"/>
      <c r="D53" s="74"/>
      <c r="E53" s="74"/>
      <c r="F53" s="74"/>
      <c r="G53" s="74"/>
      <c r="H53" s="75"/>
      <c r="I53" s="1"/>
      <c r="J53" s="1"/>
    </row>
    <row r="54" spans="1:10" ht="12.75">
      <c r="A54" s="45"/>
      <c r="B54" s="14" t="s">
        <v>0</v>
      </c>
      <c r="C54" s="14" t="s">
        <v>0</v>
      </c>
      <c r="D54" s="14" t="s">
        <v>0</v>
      </c>
      <c r="E54" s="14" t="s">
        <v>0</v>
      </c>
      <c r="F54" s="14" t="s">
        <v>0</v>
      </c>
      <c r="G54" s="14" t="s">
        <v>0</v>
      </c>
      <c r="H54" s="69"/>
      <c r="I54" s="1"/>
      <c r="J54" s="1"/>
    </row>
    <row r="55" spans="1:10" ht="12.75">
      <c r="A55" s="27" t="s">
        <v>1</v>
      </c>
      <c r="B55" s="14">
        <v>5.5</v>
      </c>
      <c r="C55" s="14"/>
      <c r="D55" s="47"/>
      <c r="E55" s="13"/>
      <c r="F55" s="13"/>
      <c r="G55" s="70"/>
      <c r="H55" s="69"/>
      <c r="I55" s="1"/>
      <c r="J55" s="1"/>
    </row>
    <row r="56" spans="1:10" ht="15" thickBot="1">
      <c r="A56" s="49" t="s">
        <v>2</v>
      </c>
      <c r="B56" s="50">
        <v>1.7</v>
      </c>
      <c r="C56" s="51"/>
      <c r="D56" s="52"/>
      <c r="E56" s="42"/>
      <c r="F56" s="42"/>
      <c r="G56" s="71"/>
      <c r="H56" s="72"/>
      <c r="I56" s="1"/>
      <c r="J56" s="1"/>
    </row>
    <row r="57" spans="1:10" ht="12.75">
      <c r="A57" s="27"/>
      <c r="B57" s="14" t="s">
        <v>3</v>
      </c>
      <c r="C57" s="14" t="s">
        <v>4</v>
      </c>
      <c r="D57" s="67" t="s">
        <v>5</v>
      </c>
      <c r="E57" s="27"/>
      <c r="F57" s="14" t="s">
        <v>3</v>
      </c>
      <c r="G57" s="68" t="s">
        <v>6</v>
      </c>
      <c r="H57" s="2" t="s">
        <v>33</v>
      </c>
      <c r="I57" s="6" t="s">
        <v>35</v>
      </c>
      <c r="J57" s="6" t="s">
        <v>36</v>
      </c>
    </row>
    <row r="58" spans="1:10" ht="14.25">
      <c r="A58" s="32" t="s">
        <v>41</v>
      </c>
      <c r="B58" s="33">
        <f>C58*62.004</f>
        <v>790.5509999999999</v>
      </c>
      <c r="C58" s="33">
        <v>12.75</v>
      </c>
      <c r="D58" s="34">
        <f>C58</f>
        <v>12.75</v>
      </c>
      <c r="E58" s="27" t="s">
        <v>8</v>
      </c>
      <c r="F58" s="39">
        <f>G58*0.0558</f>
        <v>0.8370000000000001</v>
      </c>
      <c r="G58" s="28">
        <v>15</v>
      </c>
      <c r="H58" s="3">
        <f>D62/(D63+D64)</f>
        <v>1.1333333333333333</v>
      </c>
      <c r="I58" s="3">
        <f>D58+D59+D60</f>
        <v>17</v>
      </c>
      <c r="J58" s="3">
        <f>D61+D62+D63+D64</f>
        <v>17</v>
      </c>
    </row>
    <row r="59" spans="1:10" ht="15.75">
      <c r="A59" s="27" t="s">
        <v>9</v>
      </c>
      <c r="B59" s="23">
        <f>C59*96.986</f>
        <v>121.2325</v>
      </c>
      <c r="C59" s="23">
        <v>1.25</v>
      </c>
      <c r="D59" s="28">
        <f>C59</f>
        <v>1.25</v>
      </c>
      <c r="E59" s="27" t="s">
        <v>10</v>
      </c>
      <c r="F59" s="39">
        <f>G59*0.0549</f>
        <v>0.5489999999999999</v>
      </c>
      <c r="G59" s="28">
        <v>10</v>
      </c>
      <c r="H59" s="2" t="s">
        <v>34</v>
      </c>
      <c r="I59" s="13"/>
      <c r="J59" s="13"/>
    </row>
    <row r="60" spans="1:10" ht="15.75">
      <c r="A60" s="27" t="s">
        <v>11</v>
      </c>
      <c r="B60" s="23">
        <f>C60*96.056</f>
        <v>144.084</v>
      </c>
      <c r="C60" s="23">
        <v>1.5</v>
      </c>
      <c r="D60" s="28">
        <f>C60*2</f>
        <v>3</v>
      </c>
      <c r="E60" s="27" t="s">
        <v>12</v>
      </c>
      <c r="F60" s="39">
        <f>G60*0.0654</f>
        <v>0.2616</v>
      </c>
      <c r="G60" s="28">
        <v>4</v>
      </c>
      <c r="H60" s="3">
        <f>D62/D63</f>
        <v>1.5454545454545454</v>
      </c>
      <c r="I60" s="14"/>
      <c r="J60" s="14"/>
    </row>
    <row r="61" spans="1:10" ht="15.75">
      <c r="A61" s="27" t="s">
        <v>13</v>
      </c>
      <c r="B61" s="23">
        <f>C61*18.039</f>
        <v>18.039</v>
      </c>
      <c r="C61" s="23">
        <v>1</v>
      </c>
      <c r="D61" s="28">
        <f>C61</f>
        <v>1</v>
      </c>
      <c r="E61" s="27" t="s">
        <v>14</v>
      </c>
      <c r="F61" s="39">
        <f>G61*0.0108</f>
        <v>0.21600000000000003</v>
      </c>
      <c r="G61" s="28">
        <v>20</v>
      </c>
      <c r="H61" s="1"/>
      <c r="I61" s="3"/>
      <c r="J61" s="15"/>
    </row>
    <row r="62" spans="1:10" ht="12.75">
      <c r="A62" s="32" t="s">
        <v>15</v>
      </c>
      <c r="B62" s="33">
        <f>C62*39.102</f>
        <v>332.36699999999996</v>
      </c>
      <c r="C62" s="33">
        <v>8.5</v>
      </c>
      <c r="D62" s="34">
        <f>C62</f>
        <v>8.5</v>
      </c>
      <c r="E62" s="27" t="s">
        <v>16</v>
      </c>
      <c r="F62" s="39">
        <f>G62*0.0635</f>
        <v>0.047625</v>
      </c>
      <c r="G62" s="28">
        <v>0.75</v>
      </c>
      <c r="H62" s="14" t="s">
        <v>37</v>
      </c>
      <c r="I62" s="1"/>
      <c r="J62" s="1"/>
    </row>
    <row r="63" spans="1:10" ht="12.75">
      <c r="A63" s="27" t="s">
        <v>17</v>
      </c>
      <c r="B63" s="23">
        <f>C63*40.08</f>
        <v>110.22</v>
      </c>
      <c r="C63" s="23">
        <v>2.75</v>
      </c>
      <c r="D63" s="28">
        <f>C63*2</f>
        <v>5.5</v>
      </c>
      <c r="E63" s="27" t="s">
        <v>18</v>
      </c>
      <c r="F63" s="39">
        <f>G63*0.0959</f>
        <v>0.04795</v>
      </c>
      <c r="G63" s="28">
        <v>0.5</v>
      </c>
      <c r="H63" s="3">
        <f>SUM(C58:C64)</f>
        <v>28.75</v>
      </c>
      <c r="I63" s="1"/>
      <c r="J63" s="1"/>
    </row>
    <row r="64" spans="1:10" ht="13.5" thickBot="1">
      <c r="A64" s="49" t="s">
        <v>19</v>
      </c>
      <c r="B64" s="51">
        <f>C64*24.305</f>
        <v>24.305</v>
      </c>
      <c r="C64" s="51">
        <v>1</v>
      </c>
      <c r="D64" s="60">
        <f>C64*2</f>
        <v>2</v>
      </c>
      <c r="E64" s="41"/>
      <c r="F64" s="42"/>
      <c r="G64" s="43"/>
      <c r="H64" s="1"/>
      <c r="I64" s="1"/>
      <c r="J64" s="1"/>
    </row>
    <row r="65" ht="13.5" thickBot="1"/>
    <row r="66" spans="1:10" ht="12.75">
      <c r="A66" s="94" t="s">
        <v>44</v>
      </c>
      <c r="B66" s="95"/>
      <c r="C66" s="95"/>
      <c r="D66" s="95"/>
      <c r="E66" s="95"/>
      <c r="F66" s="95"/>
      <c r="G66" s="96"/>
      <c r="H66" s="17"/>
      <c r="I66" s="17"/>
      <c r="J66" s="17"/>
    </row>
    <row r="67" spans="1:7" ht="12.75">
      <c r="A67" s="89"/>
      <c r="B67" s="21" t="s">
        <v>0</v>
      </c>
      <c r="C67" s="21" t="s">
        <v>0</v>
      </c>
      <c r="D67" s="21" t="s">
        <v>0</v>
      </c>
      <c r="E67" s="21" t="s">
        <v>0</v>
      </c>
      <c r="F67" s="21" t="s">
        <v>0</v>
      </c>
      <c r="G67" s="90" t="s">
        <v>0</v>
      </c>
    </row>
    <row r="68" spans="1:7" ht="12.75">
      <c r="A68" s="79" t="s">
        <v>1</v>
      </c>
      <c r="B68" s="21">
        <v>5.5</v>
      </c>
      <c r="C68" s="21"/>
      <c r="D68" s="21"/>
      <c r="E68" s="20"/>
      <c r="F68" s="20"/>
      <c r="G68" s="91"/>
    </row>
    <row r="69" spans="1:7" ht="15" thickBot="1">
      <c r="A69" s="82" t="s">
        <v>50</v>
      </c>
      <c r="B69" s="92">
        <v>3</v>
      </c>
      <c r="C69" s="83"/>
      <c r="D69" s="92"/>
      <c r="E69" s="88"/>
      <c r="F69" s="88"/>
      <c r="G69" s="93"/>
    </row>
    <row r="70" spans="1:10" ht="12.75">
      <c r="A70" s="76"/>
      <c r="B70" s="77" t="s">
        <v>3</v>
      </c>
      <c r="C70" s="77" t="s">
        <v>4</v>
      </c>
      <c r="D70" s="78" t="s">
        <v>5</v>
      </c>
      <c r="E70" s="76"/>
      <c r="F70" s="77" t="s">
        <v>3</v>
      </c>
      <c r="G70" s="85" t="s">
        <v>51</v>
      </c>
      <c r="H70" s="8" t="s">
        <v>33</v>
      </c>
      <c r="I70" s="18" t="s">
        <v>48</v>
      </c>
      <c r="J70" s="18" t="s">
        <v>49</v>
      </c>
    </row>
    <row r="71" spans="1:10" ht="15.75">
      <c r="A71" s="79" t="s">
        <v>52</v>
      </c>
      <c r="B71" s="80">
        <f>C71*62.004</f>
        <v>1054.068</v>
      </c>
      <c r="C71" s="80">
        <v>17</v>
      </c>
      <c r="D71" s="81">
        <f>C71</f>
        <v>17</v>
      </c>
      <c r="E71" s="79" t="s">
        <v>8</v>
      </c>
      <c r="F71" s="86">
        <f>G71*0.0558</f>
        <v>1.395</v>
      </c>
      <c r="G71" s="81">
        <v>25</v>
      </c>
      <c r="H71" s="19">
        <f>D75/(D76+D77)</f>
        <v>0.3333333333333333</v>
      </c>
      <c r="I71" s="19">
        <f>D71+D72+D73</f>
        <v>27.7</v>
      </c>
      <c r="J71" s="19">
        <f>D74+D75+D76+D77</f>
        <v>28.5</v>
      </c>
    </row>
    <row r="72" spans="1:10" ht="15.75">
      <c r="A72" s="79" t="s">
        <v>53</v>
      </c>
      <c r="B72" s="80">
        <f>C72*96.986</f>
        <v>67.8902</v>
      </c>
      <c r="C72" s="80">
        <v>0.7</v>
      </c>
      <c r="D72" s="81">
        <f>C72</f>
        <v>0.7</v>
      </c>
      <c r="E72" s="79" t="s">
        <v>10</v>
      </c>
      <c r="F72" s="86">
        <f>G72*0.0549</f>
        <v>0.27449999999999997</v>
      </c>
      <c r="G72" s="81">
        <v>5</v>
      </c>
      <c r="H72" s="8" t="s">
        <v>34</v>
      </c>
      <c r="I72" s="20"/>
      <c r="J72" s="20"/>
    </row>
    <row r="73" spans="1:10" ht="15.75">
      <c r="A73" s="79" t="s">
        <v>54</v>
      </c>
      <c r="B73" s="80">
        <f>C73*96.056</f>
        <v>480.28</v>
      </c>
      <c r="C73" s="80">
        <v>5</v>
      </c>
      <c r="D73" s="81">
        <f>C73*2</f>
        <v>10</v>
      </c>
      <c r="E73" s="79" t="s">
        <v>12</v>
      </c>
      <c r="F73" s="86">
        <f>G73*0.0654</f>
        <v>0.4578</v>
      </c>
      <c r="G73" s="81">
        <v>7</v>
      </c>
      <c r="H73" s="19">
        <f>D75/D76</f>
        <v>0.5</v>
      </c>
      <c r="I73" s="21"/>
      <c r="J73" s="21"/>
    </row>
    <row r="74" spans="1:10" ht="15.75">
      <c r="A74" s="79" t="s">
        <v>55</v>
      </c>
      <c r="B74" s="80">
        <f>C74*18.039</f>
        <v>9.0195</v>
      </c>
      <c r="C74" s="80">
        <v>0.5</v>
      </c>
      <c r="D74" s="81">
        <f>C74</f>
        <v>0.5</v>
      </c>
      <c r="E74" s="79" t="s">
        <v>14</v>
      </c>
      <c r="F74" s="86">
        <f>G74*0.0108</f>
        <v>0.54</v>
      </c>
      <c r="G74" s="81">
        <v>50</v>
      </c>
      <c r="H74" s="9"/>
      <c r="I74" s="19"/>
      <c r="J74" s="22"/>
    </row>
    <row r="75" spans="1:10" ht="12.75">
      <c r="A75" s="79" t="s">
        <v>15</v>
      </c>
      <c r="B75" s="80">
        <f>C75*39.102</f>
        <v>273.714</v>
      </c>
      <c r="C75" s="80">
        <v>7</v>
      </c>
      <c r="D75" s="81">
        <f>C75</f>
        <v>7</v>
      </c>
      <c r="E75" s="79" t="s">
        <v>16</v>
      </c>
      <c r="F75" s="86">
        <f>G75*0.0635</f>
        <v>0.044449999999999996</v>
      </c>
      <c r="G75" s="81">
        <v>0.7</v>
      </c>
      <c r="H75" s="21" t="s">
        <v>37</v>
      </c>
      <c r="I75" s="9"/>
      <c r="J75" s="9"/>
    </row>
    <row r="76" spans="1:10" ht="12.75">
      <c r="A76" s="79" t="s">
        <v>17</v>
      </c>
      <c r="B76" s="80">
        <f>C76*40.08</f>
        <v>280.56</v>
      </c>
      <c r="C76" s="80">
        <v>7</v>
      </c>
      <c r="D76" s="81">
        <f>C76*2</f>
        <v>14</v>
      </c>
      <c r="E76" s="79" t="s">
        <v>18</v>
      </c>
      <c r="F76" s="86">
        <f>G76*0.0959</f>
        <v>0</v>
      </c>
      <c r="G76" s="81"/>
      <c r="H76" s="19">
        <f>SUM(C71:C77)</f>
        <v>40.7</v>
      </c>
      <c r="I76" s="9"/>
      <c r="J76" s="9"/>
    </row>
    <row r="77" spans="1:10" ht="13.5" thickBot="1">
      <c r="A77" s="82" t="s">
        <v>19</v>
      </c>
      <c r="B77" s="83">
        <f>C77*24.305</f>
        <v>85.0675</v>
      </c>
      <c r="C77" s="83">
        <v>3.5</v>
      </c>
      <c r="D77" s="84">
        <f>C77*2</f>
        <v>7</v>
      </c>
      <c r="E77" s="87"/>
      <c r="F77" s="88"/>
      <c r="G77" s="84"/>
      <c r="H77" s="17"/>
      <c r="I77" s="17"/>
      <c r="J77" s="17"/>
    </row>
  </sheetData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91" zoomScaleNormal="91" workbookViewId="0" topLeftCell="A1">
      <selection activeCell="G54" sqref="G54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3:17" ht="13.5" thickBot="1">
      <c r="C2" s="11" t="s">
        <v>158</v>
      </c>
      <c r="D2" s="11"/>
      <c r="E2" s="224" t="s">
        <v>159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225">
        <f>E4+F4</f>
        <v>11.45</v>
      </c>
      <c r="E4" s="180">
        <v>10.75</v>
      </c>
      <c r="F4" s="180">
        <v>0.7</v>
      </c>
      <c r="G4" s="180">
        <v>1.25</v>
      </c>
      <c r="H4" s="180">
        <v>3</v>
      </c>
      <c r="I4" s="180">
        <v>7.3</v>
      </c>
      <c r="J4" s="180">
        <v>4</v>
      </c>
      <c r="K4" s="181">
        <v>3</v>
      </c>
      <c r="L4" s="181">
        <v>0.837</v>
      </c>
      <c r="M4" s="181">
        <v>0.549</v>
      </c>
      <c r="N4" s="181">
        <v>0.262</v>
      </c>
      <c r="O4" s="181">
        <v>0.324</v>
      </c>
      <c r="P4" s="181">
        <v>0.048</v>
      </c>
      <c r="Q4" s="181">
        <v>0.048</v>
      </c>
    </row>
    <row r="5" spans="2:17" ht="12.75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2:17" ht="12.75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2:17" ht="12.75">
      <c r="B7" s="45"/>
      <c r="C7" s="103" t="s">
        <v>31</v>
      </c>
      <c r="D7" s="199">
        <f>E7+F7</f>
        <v>11.45</v>
      </c>
      <c r="E7" s="23">
        <f aca="true" t="shared" si="0" ref="E7:Q7">(E4*E6)/100</f>
        <v>10.75</v>
      </c>
      <c r="F7" s="23">
        <f t="shared" si="0"/>
        <v>0.7</v>
      </c>
      <c r="G7" s="23">
        <f t="shared" si="0"/>
        <v>1.25</v>
      </c>
      <c r="H7" s="23">
        <f t="shared" si="0"/>
        <v>3</v>
      </c>
      <c r="I7" s="23">
        <f t="shared" si="0"/>
        <v>7.3</v>
      </c>
      <c r="J7" s="23">
        <f t="shared" si="0"/>
        <v>4</v>
      </c>
      <c r="K7" s="97">
        <f t="shared" si="0"/>
        <v>3</v>
      </c>
      <c r="L7" s="97">
        <f t="shared" si="0"/>
        <v>0.8370000000000001</v>
      </c>
      <c r="M7" s="97">
        <f t="shared" si="0"/>
        <v>0.549</v>
      </c>
      <c r="N7" s="97">
        <f t="shared" si="0"/>
        <v>0.262</v>
      </c>
      <c r="O7" s="97">
        <f t="shared" si="0"/>
        <v>0.324</v>
      </c>
      <c r="P7" s="97">
        <f t="shared" si="0"/>
        <v>0.048</v>
      </c>
      <c r="Q7" s="97">
        <f t="shared" si="0"/>
        <v>0.048</v>
      </c>
    </row>
    <row r="8" spans="2:17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0.1</v>
      </c>
      <c r="I8" s="111">
        <v>4.49</v>
      </c>
      <c r="J8" s="111">
        <v>1.82</v>
      </c>
      <c r="K8" s="114">
        <v>3.08</v>
      </c>
      <c r="L8" s="200">
        <v>0.01</v>
      </c>
      <c r="M8" s="200">
        <v>0</v>
      </c>
      <c r="N8" s="200">
        <v>0.25</v>
      </c>
      <c r="O8" s="200">
        <v>0.05</v>
      </c>
      <c r="P8" s="200">
        <v>0.01</v>
      </c>
      <c r="Q8" s="155"/>
    </row>
    <row r="9" spans="2:17" ht="12.75">
      <c r="B9" s="45"/>
      <c r="C9" s="103" t="s">
        <v>56</v>
      </c>
      <c r="D9" s="199">
        <f>E9+F9</f>
        <v>11.129999999999999</v>
      </c>
      <c r="E9" s="23">
        <f aca="true" t="shared" si="1" ref="E9:Q9">E7-E8</f>
        <v>10.43</v>
      </c>
      <c r="F9" s="23">
        <f t="shared" si="1"/>
        <v>0.7</v>
      </c>
      <c r="G9" s="23">
        <f t="shared" si="1"/>
        <v>1.25</v>
      </c>
      <c r="H9" s="23">
        <f t="shared" si="1"/>
        <v>2.9</v>
      </c>
      <c r="I9" s="23">
        <f t="shared" si="1"/>
        <v>2.8099999999999996</v>
      </c>
      <c r="J9" s="23">
        <f t="shared" si="1"/>
        <v>2.1799999999999997</v>
      </c>
      <c r="K9" s="97">
        <f t="shared" si="1"/>
        <v>-0.08000000000000007</v>
      </c>
      <c r="L9" s="97">
        <f t="shared" si="1"/>
        <v>0.8270000000000001</v>
      </c>
      <c r="M9" s="97">
        <f t="shared" si="1"/>
        <v>0.549</v>
      </c>
      <c r="N9" s="97">
        <f t="shared" si="1"/>
        <v>0.01200000000000001</v>
      </c>
      <c r="O9" s="97">
        <f t="shared" si="1"/>
        <v>0.274</v>
      </c>
      <c r="P9" s="97">
        <f t="shared" si="1"/>
        <v>0.038</v>
      </c>
      <c r="Q9" s="97">
        <f t="shared" si="1"/>
        <v>0.048</v>
      </c>
    </row>
    <row r="10" spans="2:17" ht="13.5" thickBot="1">
      <c r="B10" s="41" t="s">
        <v>75</v>
      </c>
      <c r="C10" s="152" t="s">
        <v>74</v>
      </c>
      <c r="D10" s="201">
        <f>E10+F10</f>
        <v>155.82</v>
      </c>
      <c r="E10" s="153">
        <f>E9*14</f>
        <v>146.01999999999998</v>
      </c>
      <c r="F10" s="153">
        <f>F9*14</f>
        <v>9.799999999999999</v>
      </c>
      <c r="G10" s="153">
        <f>G9*71</f>
        <v>88.75</v>
      </c>
      <c r="H10" s="153">
        <f>H9*47</f>
        <v>136.29999999999998</v>
      </c>
      <c r="I10" s="153">
        <f>I9*28</f>
        <v>78.67999999999999</v>
      </c>
      <c r="J10" s="153">
        <f>J9*20</f>
        <v>43.599999999999994</v>
      </c>
      <c r="K10" s="154">
        <f>K9*16</f>
        <v>-1.2800000000000011</v>
      </c>
      <c r="L10" s="154">
        <f aca="true" t="shared" si="2" ref="L10:Q10">L9</f>
        <v>0.8270000000000001</v>
      </c>
      <c r="M10" s="154">
        <f t="shared" si="2"/>
        <v>0.549</v>
      </c>
      <c r="N10" s="154">
        <f t="shared" si="2"/>
        <v>0.01200000000000001</v>
      </c>
      <c r="O10" s="154">
        <f t="shared" si="2"/>
        <v>0.274</v>
      </c>
      <c r="P10" s="154">
        <f t="shared" si="2"/>
        <v>0.038</v>
      </c>
      <c r="Q10" s="154">
        <f t="shared" si="2"/>
        <v>0.048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60</v>
      </c>
      <c r="E15" s="144">
        <f aca="true" t="shared" si="3" ref="E15:J15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0.43</v>
      </c>
      <c r="C16" s="133" t="s">
        <v>84</v>
      </c>
      <c r="D16" s="140">
        <f>E16+F16</f>
        <v>25.8</v>
      </c>
      <c r="E16" s="131">
        <f aca="true" t="shared" si="5" ref="E16:Q16">E15*$B$16</f>
        <v>19.35</v>
      </c>
      <c r="F16" s="131">
        <f t="shared" si="5"/>
        <v>6.45</v>
      </c>
      <c r="G16" s="131">
        <f t="shared" si="5"/>
        <v>51.6</v>
      </c>
      <c r="H16" s="131">
        <f t="shared" si="5"/>
        <v>154.8</v>
      </c>
      <c r="I16" s="131">
        <f t="shared" si="5"/>
        <v>0</v>
      </c>
      <c r="J16" s="131">
        <f t="shared" si="5"/>
        <v>12.9</v>
      </c>
      <c r="K16" s="132">
        <f t="shared" si="5"/>
        <v>3.44</v>
      </c>
      <c r="L16" s="132">
        <f t="shared" si="5"/>
        <v>0.30100000000000005</v>
      </c>
      <c r="M16" s="132">
        <f t="shared" si="5"/>
        <v>0.17200000000000001</v>
      </c>
      <c r="N16" s="132">
        <f t="shared" si="5"/>
        <v>0.1075</v>
      </c>
      <c r="O16" s="132">
        <f t="shared" si="5"/>
        <v>0.1075</v>
      </c>
      <c r="P16" s="132">
        <f t="shared" si="5"/>
        <v>0.043000000000000003</v>
      </c>
      <c r="Q16" s="132">
        <f t="shared" si="5"/>
        <v>0.0172</v>
      </c>
    </row>
    <row r="17" spans="2:17" ht="13.5" thickBot="1">
      <c r="B17" s="171"/>
      <c r="C17" s="202"/>
      <c r="D17" s="203">
        <f aca="true" t="shared" si="6" ref="D17:Q17">D16/D10</f>
        <v>0.16557566422795533</v>
      </c>
      <c r="E17" s="204">
        <f t="shared" si="6"/>
        <v>0.1325160936857965</v>
      </c>
      <c r="F17" s="204">
        <f t="shared" si="6"/>
        <v>0.6581632653061226</v>
      </c>
      <c r="G17" s="204">
        <f t="shared" si="6"/>
        <v>0.5814084507042254</v>
      </c>
      <c r="H17" s="204">
        <f t="shared" si="6"/>
        <v>1.1357300073367573</v>
      </c>
      <c r="I17" s="204">
        <f t="shared" si="6"/>
        <v>0</v>
      </c>
      <c r="J17" s="204">
        <f t="shared" si="6"/>
        <v>0.2958715596330276</v>
      </c>
      <c r="K17" s="205">
        <f t="shared" si="6"/>
        <v>-2.687499999999998</v>
      </c>
      <c r="L17" s="205">
        <f t="shared" si="6"/>
        <v>0.3639661426844015</v>
      </c>
      <c r="M17" s="205">
        <f t="shared" si="6"/>
        <v>0.3132969034608379</v>
      </c>
      <c r="N17" s="205">
        <f t="shared" si="6"/>
        <v>8.958333333333325</v>
      </c>
      <c r="O17" s="205">
        <f t="shared" si="6"/>
        <v>0.3923357664233576</v>
      </c>
      <c r="P17" s="205">
        <f t="shared" si="6"/>
        <v>1.1315789473684212</v>
      </c>
      <c r="Q17" s="205">
        <f t="shared" si="6"/>
        <v>0.35833333333333334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>
        <v>0.2</v>
      </c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32</v>
      </c>
      <c r="K21" s="132">
        <f t="shared" si="9"/>
        <v>2.5600000000000005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0.7339449541284404</v>
      </c>
      <c r="K22" s="148">
        <f t="shared" si="10"/>
        <v>-1.9999999999999987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</v>
      </c>
      <c r="N24" s="232">
        <v>1.8</v>
      </c>
      <c r="O24" s="232">
        <v>1.7</v>
      </c>
      <c r="P24" s="232">
        <v>0.5</v>
      </c>
      <c r="Q24" s="232">
        <v>0.5</v>
      </c>
    </row>
    <row r="25" spans="2:17" ht="12.75">
      <c r="B25" s="45"/>
      <c r="C25" s="143" t="s">
        <v>85</v>
      </c>
      <c r="D25" s="157">
        <f>E25+F25</f>
        <v>0</v>
      </c>
      <c r="E25" s="144">
        <f aca="true" t="shared" si="11" ref="E25:J25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2:17" ht="12.75">
      <c r="B26" s="186">
        <v>0.008</v>
      </c>
      <c r="C26" s="133" t="s">
        <v>84</v>
      </c>
      <c r="D26" s="140">
        <f>E26+F26</f>
        <v>0</v>
      </c>
      <c r="E26" s="131">
        <f aca="true" t="shared" si="13" ref="E26:Q26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0.68</v>
      </c>
      <c r="M26" s="132">
        <f t="shared" si="13"/>
        <v>0.352</v>
      </c>
      <c r="N26" s="132">
        <f t="shared" si="13"/>
        <v>0.14400000000000002</v>
      </c>
      <c r="O26" s="132">
        <f t="shared" si="13"/>
        <v>0.136</v>
      </c>
      <c r="P26" s="132">
        <f t="shared" si="13"/>
        <v>0.04</v>
      </c>
      <c r="Q26" s="132">
        <f t="shared" si="13"/>
        <v>0.04</v>
      </c>
    </row>
    <row r="27" spans="2:17" ht="13.5" thickBot="1">
      <c r="B27" s="41"/>
      <c r="C27" s="146"/>
      <c r="D27" s="158">
        <f aca="true" t="shared" si="14" ref="D27:Q27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0.8222490931076178</v>
      </c>
      <c r="M27" s="148">
        <f t="shared" si="14"/>
        <v>0.6411657559198541</v>
      </c>
      <c r="N27" s="148">
        <f t="shared" si="14"/>
        <v>11.999999999999991</v>
      </c>
      <c r="O27" s="148">
        <f t="shared" si="14"/>
        <v>0.49635036496350365</v>
      </c>
      <c r="P27" s="148">
        <f t="shared" si="14"/>
        <v>1.0526315789473684</v>
      </c>
      <c r="Q27" s="148">
        <f t="shared" si="14"/>
        <v>0.8333333333333334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155</v>
      </c>
      <c r="E30" s="144">
        <f aca="true" t="shared" si="15" ref="E30:J30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0.4</v>
      </c>
      <c r="C31" s="133" t="s">
        <v>84</v>
      </c>
      <c r="D31" s="140">
        <f>E31+F31</f>
        <v>62</v>
      </c>
      <c r="E31" s="131">
        <f aca="true" t="shared" si="17" ref="E31:Q31">E30*$B$31</f>
        <v>57.6</v>
      </c>
      <c r="F31" s="131">
        <f t="shared" si="17"/>
        <v>4.4</v>
      </c>
      <c r="G31" s="131">
        <f t="shared" si="17"/>
        <v>0</v>
      </c>
      <c r="H31" s="131">
        <f t="shared" si="17"/>
        <v>0</v>
      </c>
      <c r="I31" s="131">
        <f t="shared" si="17"/>
        <v>106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0.39789500705942754</v>
      </c>
      <c r="E32" s="147">
        <f t="shared" si="18"/>
        <v>0.3944665114367895</v>
      </c>
      <c r="F32" s="147">
        <f t="shared" si="18"/>
        <v>0.4489795918367348</v>
      </c>
      <c r="G32" s="147">
        <f t="shared" si="18"/>
        <v>0</v>
      </c>
      <c r="H32" s="147">
        <f t="shared" si="18"/>
        <v>0</v>
      </c>
      <c r="I32" s="147">
        <f t="shared" si="18"/>
        <v>1.3472292831723438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2:17" ht="12.75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2:17" ht="12.75">
      <c r="B36" s="186"/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2:17" ht="14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23</v>
      </c>
      <c r="C39" s="143" t="s">
        <v>87</v>
      </c>
      <c r="D39" s="140">
        <f>E39+F39</f>
        <v>35.88</v>
      </c>
      <c r="E39" s="131">
        <f>B39*15.6/10</f>
        <v>35.88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110</v>
      </c>
      <c r="C40" s="151" t="s">
        <v>76</v>
      </c>
      <c r="D40" s="161">
        <f aca="true" t="shared" si="23" ref="D40:Q40">D16+D31+D39+D21+D36+D26</f>
        <v>123.68</v>
      </c>
      <c r="E40" s="162">
        <f t="shared" si="23"/>
        <v>112.83000000000001</v>
      </c>
      <c r="F40" s="162">
        <f t="shared" si="23"/>
        <v>10.850000000000001</v>
      </c>
      <c r="G40" s="162">
        <f t="shared" si="23"/>
        <v>51.6</v>
      </c>
      <c r="H40" s="162">
        <f t="shared" si="23"/>
        <v>154.8</v>
      </c>
      <c r="I40" s="162">
        <f t="shared" si="23"/>
        <v>106</v>
      </c>
      <c r="J40" s="162">
        <f t="shared" si="23"/>
        <v>44.9</v>
      </c>
      <c r="K40" s="162">
        <f t="shared" si="23"/>
        <v>6</v>
      </c>
      <c r="L40" s="161">
        <f t="shared" si="23"/>
        <v>0.9810000000000001</v>
      </c>
      <c r="M40" s="161">
        <f t="shared" si="23"/>
        <v>0.524</v>
      </c>
      <c r="N40" s="161">
        <f t="shared" si="23"/>
        <v>0.2515</v>
      </c>
      <c r="O40" s="161">
        <f t="shared" si="23"/>
        <v>0.2435</v>
      </c>
      <c r="P40" s="161">
        <f t="shared" si="23"/>
        <v>0.083</v>
      </c>
      <c r="Q40" s="161">
        <f t="shared" si="23"/>
        <v>0.0572</v>
      </c>
    </row>
    <row r="41" spans="2:17" ht="13.5" thickBot="1">
      <c r="B41" s="41"/>
      <c r="C41" s="42"/>
      <c r="D41" s="158">
        <f aca="true" t="shared" si="24" ref="D41:Q41">D40/D10</f>
        <v>0.7937363624695162</v>
      </c>
      <c r="E41" s="147">
        <f t="shared" si="24"/>
        <v>0.7727023695384195</v>
      </c>
      <c r="F41" s="147">
        <f t="shared" si="24"/>
        <v>1.1071428571428574</v>
      </c>
      <c r="G41" s="147">
        <f t="shared" si="24"/>
        <v>0.5814084507042254</v>
      </c>
      <c r="H41" s="147">
        <f t="shared" si="24"/>
        <v>1.1357300073367573</v>
      </c>
      <c r="I41" s="147">
        <f t="shared" si="24"/>
        <v>1.3472292831723438</v>
      </c>
      <c r="J41" s="147">
        <f t="shared" si="24"/>
        <v>1.029816513761468</v>
      </c>
      <c r="K41" s="148">
        <f t="shared" si="24"/>
        <v>-4.687499999999996</v>
      </c>
      <c r="L41" s="148">
        <f t="shared" si="24"/>
        <v>1.1862152357920193</v>
      </c>
      <c r="M41" s="148">
        <f t="shared" si="24"/>
        <v>0.9544626593806921</v>
      </c>
      <c r="N41" s="148">
        <f t="shared" si="24"/>
        <v>20.958333333333314</v>
      </c>
      <c r="O41" s="148">
        <f t="shared" si="24"/>
        <v>0.8886861313868613</v>
      </c>
      <c r="P41" s="148">
        <f t="shared" si="24"/>
        <v>2.18421052631579</v>
      </c>
      <c r="Q41" s="148">
        <f t="shared" si="24"/>
        <v>1.1916666666666667</v>
      </c>
    </row>
    <row r="43" spans="8:15" ht="13.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2:15" ht="18.75" thickBot="1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ht="13.5" thickBot="1">
      <c r="E45" s="174" t="s">
        <v>100</v>
      </c>
    </row>
    <row r="46" spans="2:13" ht="12.75">
      <c r="B46" s="115"/>
      <c r="C46" s="106" t="s">
        <v>96</v>
      </c>
      <c r="D46" s="216" t="s">
        <v>97</v>
      </c>
      <c r="E46" s="192">
        <v>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2:13" ht="12.75">
      <c r="B47" s="170" t="s">
        <v>95</v>
      </c>
      <c r="C47" s="167" t="str">
        <f>B14</f>
        <v>Kristalon orange</v>
      </c>
      <c r="D47" s="217">
        <v>10</v>
      </c>
      <c r="E47" s="176">
        <f aca="true" t="shared" si="25" ref="E47:E52">D47*$E$46/100</f>
        <v>0.5</v>
      </c>
      <c r="F47" s="177" t="s">
        <v>102</v>
      </c>
      <c r="G47" s="173">
        <f>B16/D47*10</f>
        <v>0.42999999999999994</v>
      </c>
      <c r="H47" s="173">
        <f>(B16+B31+B21)/0.8</f>
        <v>1.2874999999999999</v>
      </c>
      <c r="J47" s="239">
        <f>(H40/47+H8)/(I40/28+I8)</f>
        <v>0.410069379405078</v>
      </c>
      <c r="K47" s="23">
        <f>(H40/47+H8)/((I40/28+I8)+(J40/20+J8))</f>
        <v>0.2749935654214987</v>
      </c>
      <c r="L47" s="13" t="s">
        <v>111</v>
      </c>
      <c r="M47" s="240"/>
    </row>
    <row r="48" spans="2:13" ht="12.75">
      <c r="B48" s="45"/>
      <c r="C48" s="13" t="str">
        <f>B24</f>
        <v>Hauert Oligo</v>
      </c>
      <c r="D48" s="220">
        <f>B26*100/G47/10</f>
        <v>0.18604651162790703</v>
      </c>
      <c r="E48" s="221">
        <f t="shared" si="25"/>
        <v>0.009302325581395352</v>
      </c>
      <c r="F48" s="222"/>
      <c r="G48" s="223"/>
      <c r="H48" s="223"/>
      <c r="J48" s="241">
        <v>0.41</v>
      </c>
      <c r="K48" s="242">
        <v>0.27</v>
      </c>
      <c r="L48" s="168" t="s">
        <v>112</v>
      </c>
      <c r="M48" s="243"/>
    </row>
    <row r="49" spans="2:13" ht="13.5" thickBot="1">
      <c r="B49" s="171"/>
      <c r="C49" s="168" t="str">
        <f>B19</f>
        <v>Sulfate de magnésie</v>
      </c>
      <c r="D49" s="218">
        <f>B21*100/G47/10</f>
        <v>4.651162790697675</v>
      </c>
      <c r="E49" s="219">
        <f t="shared" si="25"/>
        <v>0.23255813953488375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ht="12.75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0.5</v>
      </c>
      <c r="F50" s="177" t="s">
        <v>102</v>
      </c>
      <c r="G50" s="173">
        <f>B31/D50*10</f>
        <v>0.4</v>
      </c>
      <c r="J50" s="244" t="s">
        <v>118</v>
      </c>
      <c r="K50" s="14" t="s">
        <v>119</v>
      </c>
      <c r="L50" s="13" t="s">
        <v>113</v>
      </c>
      <c r="M50" s="240"/>
    </row>
    <row r="51" spans="2:13" ht="12.75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7" ht="13.5" thickBot="1">
      <c r="B52" s="41"/>
      <c r="C52" s="42" t="str">
        <f>B38</f>
        <v>Acide nitrique 60 %</v>
      </c>
      <c r="D52" s="218">
        <f>B39*100/G50/1000</f>
        <v>5.75</v>
      </c>
      <c r="E52" s="219">
        <f t="shared" si="25"/>
        <v>0.2875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rintOptions horizontalCentered="1" verticalCentered="1"/>
  <pageMargins left="0.5905511811023623" right="0.5905511811023623" top="0.34" bottom="0.5905511811023623" header="0.31496062992125984" footer="0.31496062992125984"/>
  <pageSetup fitToHeight="1" fitToWidth="1" horizontalDpi="300" verticalDpi="300" orientation="landscape" paperSize="9" scale="75" r:id="rId3"/>
  <headerFooter alignWithMargins="0">
    <oddFooter>&amp;L&amp;"Arial,Normal"&amp;8VG/&amp;F/&amp;A&amp;RChâteauneuf&amp;D</oddFooter>
  </headerFooter>
  <legacyDrawing r:id="rId2"/>
  <oleObjects>
    <oleObject progId="Word.Picture.8" shapeId="115933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91" zoomScaleNormal="91" workbookViewId="0" topLeftCell="A1">
      <selection activeCell="E47" sqref="E47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3:17" ht="13.5" thickBot="1">
      <c r="C2" s="11" t="s">
        <v>146</v>
      </c>
      <c r="D2" s="11"/>
      <c r="E2" s="224" t="s">
        <v>161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225">
        <f>E4+F4</f>
        <v>12.85</v>
      </c>
      <c r="E4" s="180">
        <v>11.75</v>
      </c>
      <c r="F4" s="180">
        <v>1.1</v>
      </c>
      <c r="G4" s="180">
        <v>1.25</v>
      </c>
      <c r="H4" s="180">
        <v>5.5</v>
      </c>
      <c r="I4" s="180">
        <v>6.4</v>
      </c>
      <c r="J4" s="180">
        <v>3</v>
      </c>
      <c r="K4" s="181">
        <v>3</v>
      </c>
      <c r="L4" s="181">
        <v>0.837</v>
      </c>
      <c r="M4" s="181">
        <v>0.549</v>
      </c>
      <c r="N4" s="181">
        <v>0.262</v>
      </c>
      <c r="O4" s="181">
        <v>0.216</v>
      </c>
      <c r="P4" s="181">
        <v>0.048</v>
      </c>
      <c r="Q4" s="181">
        <v>0.048</v>
      </c>
    </row>
    <row r="5" spans="2:17" ht="12.75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2:17" ht="12.75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2:17" ht="12.75">
      <c r="B7" s="45"/>
      <c r="C7" s="103" t="s">
        <v>31</v>
      </c>
      <c r="D7" s="199">
        <f>E7+F7</f>
        <v>12.85</v>
      </c>
      <c r="E7" s="23">
        <f aca="true" t="shared" si="0" ref="E7:Q7">(E4*E6)/100</f>
        <v>11.75</v>
      </c>
      <c r="F7" s="23">
        <f t="shared" si="0"/>
        <v>1.1</v>
      </c>
      <c r="G7" s="23">
        <f t="shared" si="0"/>
        <v>1.25</v>
      </c>
      <c r="H7" s="23">
        <f t="shared" si="0"/>
        <v>5.5</v>
      </c>
      <c r="I7" s="23">
        <f t="shared" si="0"/>
        <v>6.4</v>
      </c>
      <c r="J7" s="23">
        <f t="shared" si="0"/>
        <v>3</v>
      </c>
      <c r="K7" s="97">
        <f t="shared" si="0"/>
        <v>3</v>
      </c>
      <c r="L7" s="97">
        <f t="shared" si="0"/>
        <v>0.8370000000000001</v>
      </c>
      <c r="M7" s="97">
        <f t="shared" si="0"/>
        <v>0.549</v>
      </c>
      <c r="N7" s="97">
        <f t="shared" si="0"/>
        <v>0.262</v>
      </c>
      <c r="O7" s="97">
        <f t="shared" si="0"/>
        <v>0.21600000000000003</v>
      </c>
      <c r="P7" s="97">
        <f t="shared" si="0"/>
        <v>0.048</v>
      </c>
      <c r="Q7" s="97">
        <f t="shared" si="0"/>
        <v>0.048</v>
      </c>
    </row>
    <row r="8" spans="2:17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0.04</v>
      </c>
      <c r="I8" s="111">
        <v>3.68</v>
      </c>
      <c r="J8" s="111">
        <v>1.46</v>
      </c>
      <c r="K8" s="114">
        <v>1.63</v>
      </c>
      <c r="L8" s="200">
        <v>0.01</v>
      </c>
      <c r="M8" s="200">
        <v>0.01</v>
      </c>
      <c r="N8" s="200">
        <v>1.21</v>
      </c>
      <c r="O8" s="200">
        <v>0.01</v>
      </c>
      <c r="P8" s="200">
        <v>0.01</v>
      </c>
      <c r="Q8" s="155"/>
    </row>
    <row r="9" spans="2:17" ht="12.75">
      <c r="B9" s="45"/>
      <c r="C9" s="103" t="s">
        <v>56</v>
      </c>
      <c r="D9" s="199">
        <f>E9+F9</f>
        <v>12.53</v>
      </c>
      <c r="E9" s="23">
        <f aca="true" t="shared" si="1" ref="E9:Q9">E7-E8</f>
        <v>11.43</v>
      </c>
      <c r="F9" s="23">
        <f t="shared" si="1"/>
        <v>1.1</v>
      </c>
      <c r="G9" s="23">
        <f t="shared" si="1"/>
        <v>1.25</v>
      </c>
      <c r="H9" s="23">
        <f t="shared" si="1"/>
        <v>5.46</v>
      </c>
      <c r="I9" s="23">
        <f t="shared" si="1"/>
        <v>2.72</v>
      </c>
      <c r="J9" s="23">
        <f t="shared" si="1"/>
        <v>1.54</v>
      </c>
      <c r="K9" s="97">
        <f t="shared" si="1"/>
        <v>1.37</v>
      </c>
      <c r="L9" s="97">
        <f t="shared" si="1"/>
        <v>0.8270000000000001</v>
      </c>
      <c r="M9" s="97">
        <f t="shared" si="1"/>
        <v>0.539</v>
      </c>
      <c r="N9" s="97">
        <f t="shared" si="1"/>
        <v>-0.948</v>
      </c>
      <c r="O9" s="97">
        <f t="shared" si="1"/>
        <v>0.20600000000000002</v>
      </c>
      <c r="P9" s="97">
        <f t="shared" si="1"/>
        <v>0.038</v>
      </c>
      <c r="Q9" s="97">
        <f t="shared" si="1"/>
        <v>0.048</v>
      </c>
    </row>
    <row r="10" spans="2:17" ht="13.5" thickBot="1">
      <c r="B10" s="41" t="s">
        <v>75</v>
      </c>
      <c r="C10" s="152" t="s">
        <v>74</v>
      </c>
      <c r="D10" s="201">
        <f>E10+F10</f>
        <v>175.42</v>
      </c>
      <c r="E10" s="153">
        <f>E9*14</f>
        <v>160.01999999999998</v>
      </c>
      <c r="F10" s="153">
        <f>F9*14</f>
        <v>15.400000000000002</v>
      </c>
      <c r="G10" s="153">
        <f>G9*71</f>
        <v>88.75</v>
      </c>
      <c r="H10" s="153">
        <f>H9*47</f>
        <v>256.62</v>
      </c>
      <c r="I10" s="153">
        <f>I9*28</f>
        <v>76.16000000000001</v>
      </c>
      <c r="J10" s="153">
        <f>J9*20</f>
        <v>30.8</v>
      </c>
      <c r="K10" s="154">
        <f>K9*16</f>
        <v>21.92</v>
      </c>
      <c r="L10" s="154">
        <f aca="true" t="shared" si="2" ref="L10:Q10">L9</f>
        <v>0.8270000000000001</v>
      </c>
      <c r="M10" s="154">
        <f t="shared" si="2"/>
        <v>0.539</v>
      </c>
      <c r="N10" s="154">
        <f t="shared" si="2"/>
        <v>-0.948</v>
      </c>
      <c r="O10" s="154">
        <f t="shared" si="2"/>
        <v>0.20600000000000002</v>
      </c>
      <c r="P10" s="154">
        <f t="shared" si="2"/>
        <v>0.038</v>
      </c>
      <c r="Q10" s="154">
        <f t="shared" si="2"/>
        <v>0.048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69</v>
      </c>
      <c r="C14" s="226" t="s">
        <v>73</v>
      </c>
      <c r="D14" s="227">
        <f>E14+F14</f>
        <v>6</v>
      </c>
      <c r="E14" s="187">
        <v>4.5</v>
      </c>
      <c r="F14" s="187">
        <v>1.5</v>
      </c>
      <c r="G14" s="187">
        <v>12</v>
      </c>
      <c r="H14" s="187">
        <v>36</v>
      </c>
      <c r="I14" s="187"/>
      <c r="J14" s="187">
        <v>3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60</v>
      </c>
      <c r="E15" s="144">
        <f aca="true" t="shared" si="3" ref="E15:J15">E14*10</f>
        <v>45</v>
      </c>
      <c r="F15" s="144">
        <f t="shared" si="3"/>
        <v>15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30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0.74</v>
      </c>
      <c r="C16" s="133" t="s">
        <v>84</v>
      </c>
      <c r="D16" s="140">
        <f>E16+F16</f>
        <v>44.4</v>
      </c>
      <c r="E16" s="131">
        <f aca="true" t="shared" si="5" ref="E16:Q16">E15*$B$16</f>
        <v>33.3</v>
      </c>
      <c r="F16" s="131">
        <f t="shared" si="5"/>
        <v>11.1</v>
      </c>
      <c r="G16" s="131">
        <f t="shared" si="5"/>
        <v>88.8</v>
      </c>
      <c r="H16" s="131">
        <f t="shared" si="5"/>
        <v>266.4</v>
      </c>
      <c r="I16" s="131">
        <f t="shared" si="5"/>
        <v>0</v>
      </c>
      <c r="J16" s="131">
        <f t="shared" si="5"/>
        <v>22.2</v>
      </c>
      <c r="K16" s="132">
        <f t="shared" si="5"/>
        <v>5.92</v>
      </c>
      <c r="L16" s="132">
        <f t="shared" si="5"/>
        <v>0.518</v>
      </c>
      <c r="M16" s="132">
        <f t="shared" si="5"/>
        <v>0.296</v>
      </c>
      <c r="N16" s="132">
        <f t="shared" si="5"/>
        <v>0.185</v>
      </c>
      <c r="O16" s="132">
        <f t="shared" si="5"/>
        <v>0.185</v>
      </c>
      <c r="P16" s="132">
        <f t="shared" si="5"/>
        <v>0.074</v>
      </c>
      <c r="Q16" s="132">
        <f t="shared" si="5"/>
        <v>0.0296</v>
      </c>
    </row>
    <row r="17" spans="2:17" ht="13.5" thickBot="1">
      <c r="B17" s="171"/>
      <c r="C17" s="202"/>
      <c r="D17" s="203">
        <f aca="true" t="shared" si="6" ref="D17:Q17">D16/D10</f>
        <v>0.2531068293239083</v>
      </c>
      <c r="E17" s="204">
        <f t="shared" si="6"/>
        <v>0.2080989876265467</v>
      </c>
      <c r="F17" s="204">
        <f t="shared" si="6"/>
        <v>0.7207792207792206</v>
      </c>
      <c r="G17" s="204">
        <f t="shared" si="6"/>
        <v>1.00056338028169</v>
      </c>
      <c r="H17" s="204">
        <f t="shared" si="6"/>
        <v>1.0381108253448679</v>
      </c>
      <c r="I17" s="204">
        <f t="shared" si="6"/>
        <v>0</v>
      </c>
      <c r="J17" s="204">
        <f t="shared" si="6"/>
        <v>0.7207792207792207</v>
      </c>
      <c r="K17" s="205">
        <f t="shared" si="6"/>
        <v>0.27007299270072993</v>
      </c>
      <c r="L17" s="205">
        <f t="shared" si="6"/>
        <v>0.626360338573156</v>
      </c>
      <c r="M17" s="205">
        <f t="shared" si="6"/>
        <v>0.5491651205936919</v>
      </c>
      <c r="N17" s="205">
        <f t="shared" si="6"/>
        <v>-0.19514767932489452</v>
      </c>
      <c r="O17" s="205">
        <f t="shared" si="6"/>
        <v>0.8980582524271844</v>
      </c>
      <c r="P17" s="205">
        <f t="shared" si="6"/>
        <v>1.9473684210526316</v>
      </c>
      <c r="Q17" s="205">
        <f t="shared" si="6"/>
        <v>0.6166666666666667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>
        <v>0.06</v>
      </c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9.6</v>
      </c>
      <c r="K21" s="132">
        <f t="shared" si="9"/>
        <v>0.768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0.3116883116883117</v>
      </c>
      <c r="K22" s="148">
        <f t="shared" si="10"/>
        <v>0.03503649635036496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</v>
      </c>
      <c r="N24" s="232">
        <v>1.8</v>
      </c>
      <c r="O24" s="232">
        <v>1.7</v>
      </c>
      <c r="P24" s="232">
        <v>0.5</v>
      </c>
      <c r="Q24" s="232">
        <v>0.5</v>
      </c>
    </row>
    <row r="25" spans="2:17" ht="12.75">
      <c r="B25" s="45"/>
      <c r="C25" s="143" t="s">
        <v>85</v>
      </c>
      <c r="D25" s="157">
        <f>E25+F25</f>
        <v>0</v>
      </c>
      <c r="E25" s="144">
        <f aca="true" t="shared" si="11" ref="E25:J25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2:17" ht="12.75">
      <c r="B26" s="186">
        <v>0.006</v>
      </c>
      <c r="C26" s="133" t="s">
        <v>84</v>
      </c>
      <c r="D26" s="140">
        <f>E26+F26</f>
        <v>0</v>
      </c>
      <c r="E26" s="131">
        <f aca="true" t="shared" si="13" ref="E26:Q26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0.51</v>
      </c>
      <c r="M26" s="132">
        <f t="shared" si="13"/>
        <v>0.264</v>
      </c>
      <c r="N26" s="132">
        <f t="shared" si="13"/>
        <v>0.108</v>
      </c>
      <c r="O26" s="132">
        <f t="shared" si="13"/>
        <v>0.10200000000000001</v>
      </c>
      <c r="P26" s="132">
        <f t="shared" si="13"/>
        <v>0.03</v>
      </c>
      <c r="Q26" s="132">
        <f t="shared" si="13"/>
        <v>0.03</v>
      </c>
    </row>
    <row r="27" spans="2:17" ht="13.5" thickBot="1">
      <c r="B27" s="41"/>
      <c r="C27" s="146"/>
      <c r="D27" s="158">
        <f aca="true" t="shared" si="14" ref="D27:Q27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0.6166868198307134</v>
      </c>
      <c r="M27" s="148">
        <f t="shared" si="14"/>
        <v>0.4897959183673469</v>
      </c>
      <c r="N27" s="148">
        <f t="shared" si="14"/>
        <v>-0.1139240506329114</v>
      </c>
      <c r="O27" s="148">
        <f t="shared" si="14"/>
        <v>0.49514563106796117</v>
      </c>
      <c r="P27" s="148">
        <f t="shared" si="14"/>
        <v>0.7894736842105263</v>
      </c>
      <c r="Q27" s="148">
        <f t="shared" si="14"/>
        <v>0.625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155</v>
      </c>
      <c r="E30" s="144">
        <f aca="true" t="shared" si="15" ref="E30:J30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0.6</v>
      </c>
      <c r="C31" s="133" t="s">
        <v>84</v>
      </c>
      <c r="D31" s="140">
        <f>E31+F31</f>
        <v>92.99999999999999</v>
      </c>
      <c r="E31" s="131">
        <f aca="true" t="shared" si="17" ref="E31:Q31">E30*$B$31</f>
        <v>86.39999999999999</v>
      </c>
      <c r="F31" s="131">
        <f t="shared" si="17"/>
        <v>6.6</v>
      </c>
      <c r="G31" s="131">
        <f t="shared" si="17"/>
        <v>0</v>
      </c>
      <c r="H31" s="131">
        <f t="shared" si="17"/>
        <v>0</v>
      </c>
      <c r="I31" s="131">
        <f t="shared" si="17"/>
        <v>159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0.530156196556835</v>
      </c>
      <c r="E32" s="147">
        <f t="shared" si="18"/>
        <v>0.5399325084364455</v>
      </c>
      <c r="F32" s="147">
        <f t="shared" si="18"/>
        <v>0.4285714285714285</v>
      </c>
      <c r="G32" s="147">
        <f t="shared" si="18"/>
        <v>0</v>
      </c>
      <c r="H32" s="147">
        <f t="shared" si="18"/>
        <v>0</v>
      </c>
      <c r="I32" s="147">
        <f t="shared" si="18"/>
        <v>2.0877100840336134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2:17" ht="12.75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2:17" ht="12.75">
      <c r="B36" s="186"/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2:17" ht="14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23</v>
      </c>
      <c r="C39" s="143" t="s">
        <v>87</v>
      </c>
      <c r="D39" s="140">
        <f>E39+F39</f>
        <v>35.88</v>
      </c>
      <c r="E39" s="131">
        <f>B39*15.6/10</f>
        <v>35.88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110</v>
      </c>
      <c r="C40" s="151" t="s">
        <v>76</v>
      </c>
      <c r="D40" s="161">
        <f aca="true" t="shared" si="23" ref="D40:Q40">D16+D31+D39+D21+D36+D26</f>
        <v>173.27999999999997</v>
      </c>
      <c r="E40" s="162">
        <f t="shared" si="23"/>
        <v>155.57999999999998</v>
      </c>
      <c r="F40" s="162">
        <f t="shared" si="23"/>
        <v>17.7</v>
      </c>
      <c r="G40" s="162">
        <f t="shared" si="23"/>
        <v>88.8</v>
      </c>
      <c r="H40" s="162">
        <f t="shared" si="23"/>
        <v>266.4</v>
      </c>
      <c r="I40" s="162">
        <f t="shared" si="23"/>
        <v>159</v>
      </c>
      <c r="J40" s="162">
        <f t="shared" si="23"/>
        <v>31.799999999999997</v>
      </c>
      <c r="K40" s="162">
        <f t="shared" si="23"/>
        <v>6.688</v>
      </c>
      <c r="L40" s="161">
        <f t="shared" si="23"/>
        <v>1.028</v>
      </c>
      <c r="M40" s="161">
        <f t="shared" si="23"/>
        <v>0.56</v>
      </c>
      <c r="N40" s="161">
        <f t="shared" si="23"/>
        <v>0.293</v>
      </c>
      <c r="O40" s="161">
        <f t="shared" si="23"/>
        <v>0.28700000000000003</v>
      </c>
      <c r="P40" s="161">
        <f t="shared" si="23"/>
        <v>0.104</v>
      </c>
      <c r="Q40" s="161">
        <f t="shared" si="23"/>
        <v>0.0596</v>
      </c>
    </row>
    <row r="41" spans="2:17" ht="13.5" thickBot="1">
      <c r="B41" s="41"/>
      <c r="C41" s="42"/>
      <c r="D41" s="158">
        <f aca="true" t="shared" si="24" ref="D41:Q41">D40/D10</f>
        <v>0.9878007068749286</v>
      </c>
      <c r="E41" s="147">
        <f t="shared" si="24"/>
        <v>0.9722534683164604</v>
      </c>
      <c r="F41" s="147">
        <f t="shared" si="24"/>
        <v>1.1493506493506491</v>
      </c>
      <c r="G41" s="147">
        <f t="shared" si="24"/>
        <v>1.00056338028169</v>
      </c>
      <c r="H41" s="147">
        <f t="shared" si="24"/>
        <v>1.0381108253448679</v>
      </c>
      <c r="I41" s="147">
        <f t="shared" si="24"/>
        <v>2.0877100840336134</v>
      </c>
      <c r="J41" s="147">
        <f t="shared" si="24"/>
        <v>1.0324675324675323</v>
      </c>
      <c r="K41" s="148">
        <f t="shared" si="24"/>
        <v>0.30510948905109486</v>
      </c>
      <c r="L41" s="148">
        <f t="shared" si="24"/>
        <v>1.2430471584038694</v>
      </c>
      <c r="M41" s="148">
        <f t="shared" si="24"/>
        <v>1.038961038961039</v>
      </c>
      <c r="N41" s="148">
        <f t="shared" si="24"/>
        <v>-0.3090717299578059</v>
      </c>
      <c r="O41" s="148">
        <f t="shared" si="24"/>
        <v>1.3932038834951457</v>
      </c>
      <c r="P41" s="148">
        <f t="shared" si="24"/>
        <v>2.736842105263158</v>
      </c>
      <c r="Q41" s="148">
        <f t="shared" si="24"/>
        <v>1.2416666666666667</v>
      </c>
    </row>
    <row r="43" spans="8:15" ht="13.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2:15" ht="18.75" thickBot="1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ht="13.5" thickBot="1">
      <c r="E45" s="174" t="s">
        <v>100</v>
      </c>
    </row>
    <row r="46" spans="2:13" ht="12.75">
      <c r="B46" s="115"/>
      <c r="C46" s="106" t="s">
        <v>96</v>
      </c>
      <c r="D46" s="216" t="s">
        <v>97</v>
      </c>
      <c r="E46" s="192">
        <v>10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2:13" ht="12.75">
      <c r="B47" s="170" t="s">
        <v>95</v>
      </c>
      <c r="C47" s="167" t="str">
        <f>B14</f>
        <v>Kristalon orange</v>
      </c>
      <c r="D47" s="217">
        <v>10</v>
      </c>
      <c r="E47" s="176">
        <f aca="true" t="shared" si="25" ref="E47:E52">D47*$E$46/100</f>
        <v>1</v>
      </c>
      <c r="F47" s="177" t="s">
        <v>102</v>
      </c>
      <c r="G47" s="173">
        <f>B16/D47*10</f>
        <v>0.74</v>
      </c>
      <c r="H47" s="173">
        <f>(B16+B31+B21)/0.8</f>
        <v>1.7499999999999998</v>
      </c>
      <c r="J47" s="239">
        <f>(H40/47+H8)/(I40/28+I8)</f>
        <v>0.6099312432404342</v>
      </c>
      <c r="K47" s="23">
        <f>(H40/47+H8)/((I40/28+I8)+(J40/20+J8))</f>
        <v>0.4600114637886352</v>
      </c>
      <c r="L47" s="13" t="s">
        <v>111</v>
      </c>
      <c r="M47" s="240"/>
    </row>
    <row r="48" spans="2:13" ht="12.75">
      <c r="B48" s="45"/>
      <c r="C48" s="13" t="str">
        <f>B24</f>
        <v>Hauert Oligo</v>
      </c>
      <c r="D48" s="220">
        <f>B26*100/G47/10</f>
        <v>0.08108108108108107</v>
      </c>
      <c r="E48" s="221">
        <f t="shared" si="25"/>
        <v>0.008108108108108107</v>
      </c>
      <c r="F48" s="222"/>
      <c r="G48" s="223"/>
      <c r="H48" s="223"/>
      <c r="J48" s="241">
        <v>0.86</v>
      </c>
      <c r="K48" s="242">
        <v>0.59</v>
      </c>
      <c r="L48" s="168" t="s">
        <v>112</v>
      </c>
      <c r="M48" s="243"/>
    </row>
    <row r="49" spans="2:13" ht="13.5" thickBot="1">
      <c r="B49" s="171"/>
      <c r="C49" s="168" t="str">
        <f>B19</f>
        <v>Sulfate de magnésie</v>
      </c>
      <c r="D49" s="218">
        <f>B21*100/G47/10</f>
        <v>0.8108108108108109</v>
      </c>
      <c r="E49" s="219">
        <f t="shared" si="25"/>
        <v>0.08108108108108109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ht="12.75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1</v>
      </c>
      <c r="F50" s="177" t="s">
        <v>102</v>
      </c>
      <c r="G50" s="173">
        <f>B31/D50*10</f>
        <v>0.6</v>
      </c>
      <c r="J50" s="244" t="s">
        <v>118</v>
      </c>
      <c r="K50" s="14" t="s">
        <v>119</v>
      </c>
      <c r="L50" s="13" t="s">
        <v>113</v>
      </c>
      <c r="M50" s="240"/>
    </row>
    <row r="51" spans="2:13" ht="12.75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7" ht="13.5" thickBot="1">
      <c r="B52" s="41"/>
      <c r="C52" s="42" t="str">
        <f>B38</f>
        <v>Acide nitrique 60 %</v>
      </c>
      <c r="D52" s="218">
        <f>B39*100/G50/1000</f>
        <v>3.8333333333333335</v>
      </c>
      <c r="E52" s="219">
        <f t="shared" si="25"/>
        <v>0.38333333333333336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rintOptions horizontalCentered="1" verticalCentered="1"/>
  <pageMargins left="0.5905511811023623" right="0.5905511811023623" top="0.34" bottom="0.5905511811023623" header="0.31496062992125984" footer="0.31496062992125984"/>
  <pageSetup fitToHeight="1" fitToWidth="1" horizontalDpi="600" verticalDpi="600" orientation="landscape" paperSize="9" scale="76" r:id="rId3"/>
  <headerFooter alignWithMargins="0">
    <oddFooter>&amp;L&amp;"Arial,Normal"&amp;8VG/&amp;F/&amp;A&amp;RChâteauneuf&amp;D</oddFooter>
  </headerFooter>
  <legacyDrawing r:id="rId2"/>
  <oleObjects>
    <oleObject progId="Word.Picture.8" shapeId="116057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zoomScale="91" zoomScaleNormal="91" workbookViewId="0" topLeftCell="A1">
      <selection activeCell="G43" sqref="G43"/>
    </sheetView>
  </sheetViews>
  <sheetFormatPr defaultColWidth="11.421875" defaultRowHeight="12.75"/>
  <cols>
    <col min="1" max="1" width="2.28125" style="1" bestFit="1" customWidth="1"/>
    <col min="2" max="2" width="18.28125" style="1" customWidth="1"/>
    <col min="3" max="3" width="19.28125" style="1" customWidth="1"/>
    <col min="4" max="4" width="13.8515625" style="1" customWidth="1"/>
    <col min="5" max="5" width="12.7109375" style="1" customWidth="1"/>
    <col min="6" max="6" width="11.421875" style="1" customWidth="1"/>
    <col min="7" max="7" width="12.140625" style="1" customWidth="1"/>
    <col min="8" max="9" width="11.421875" style="1" customWidth="1"/>
    <col min="10" max="10" width="11.57421875" style="1" bestFit="1" customWidth="1"/>
    <col min="11" max="11" width="11.421875" style="1" customWidth="1"/>
    <col min="12" max="17" width="7.57421875" style="1" customWidth="1"/>
    <col min="18" max="16384" width="11.421875" style="1" customWidth="1"/>
  </cols>
  <sheetData>
    <row r="1" spans="3:14" ht="13.5" thickBot="1">
      <c r="C1" s="278" t="s">
        <v>115</v>
      </c>
      <c r="D1" s="278"/>
      <c r="E1" s="278"/>
      <c r="F1" s="278"/>
      <c r="G1" s="278"/>
      <c r="H1" s="278"/>
      <c r="I1" s="278"/>
      <c r="J1" s="278"/>
      <c r="K1" s="278"/>
      <c r="L1" s="2"/>
      <c r="M1" s="2"/>
      <c r="N1" s="2"/>
    </row>
    <row r="2" spans="3:17" ht="13.5" thickBot="1">
      <c r="C2" s="11" t="s">
        <v>162</v>
      </c>
      <c r="D2" s="11"/>
      <c r="E2" s="224" t="s">
        <v>163</v>
      </c>
      <c r="F2" s="2"/>
      <c r="G2" s="2"/>
      <c r="H2" s="2"/>
      <c r="I2" s="2"/>
      <c r="J2" s="2"/>
      <c r="K2" s="2"/>
      <c r="L2" s="281" t="s">
        <v>74</v>
      </c>
      <c r="M2" s="282"/>
      <c r="N2" s="282"/>
      <c r="O2" s="282"/>
      <c r="P2" s="282"/>
      <c r="Q2" s="283"/>
    </row>
    <row r="3" spans="2:17" ht="14.25">
      <c r="B3" s="115"/>
      <c r="C3" s="108" t="s">
        <v>28</v>
      </c>
      <c r="D3" s="164" t="s">
        <v>86</v>
      </c>
      <c r="E3" s="109" t="s">
        <v>78</v>
      </c>
      <c r="F3" s="109" t="s">
        <v>79</v>
      </c>
      <c r="G3" s="109" t="s">
        <v>80</v>
      </c>
      <c r="H3" s="109" t="s">
        <v>81</v>
      </c>
      <c r="I3" s="109" t="s">
        <v>83</v>
      </c>
      <c r="J3" s="109" t="s">
        <v>82</v>
      </c>
      <c r="K3" s="110" t="s">
        <v>90</v>
      </c>
      <c r="L3" s="109" t="s">
        <v>8</v>
      </c>
      <c r="M3" s="109" t="s">
        <v>10</v>
      </c>
      <c r="N3" s="110" t="s">
        <v>12</v>
      </c>
      <c r="O3" s="109" t="s">
        <v>14</v>
      </c>
      <c r="P3" s="109" t="s">
        <v>16</v>
      </c>
      <c r="Q3" s="110" t="s">
        <v>18</v>
      </c>
    </row>
    <row r="4" spans="2:17" ht="12.75">
      <c r="B4" s="45"/>
      <c r="C4" s="103" t="s">
        <v>29</v>
      </c>
      <c r="D4" s="225">
        <f>E4+F4</f>
        <v>11.85</v>
      </c>
      <c r="E4" s="180">
        <v>10.75</v>
      </c>
      <c r="F4" s="180">
        <v>1.1</v>
      </c>
      <c r="G4" s="180">
        <v>1.25</v>
      </c>
      <c r="H4" s="180">
        <v>5.5</v>
      </c>
      <c r="I4" s="180">
        <v>6.4</v>
      </c>
      <c r="J4" s="180">
        <v>2</v>
      </c>
      <c r="K4" s="181">
        <v>3</v>
      </c>
      <c r="L4" s="181">
        <v>0.837</v>
      </c>
      <c r="M4" s="181">
        <v>0.549</v>
      </c>
      <c r="N4" s="181">
        <v>0.262</v>
      </c>
      <c r="O4" s="181">
        <v>0.216</v>
      </c>
      <c r="P4" s="181">
        <v>0.048</v>
      </c>
      <c r="Q4" s="181">
        <v>0.048</v>
      </c>
    </row>
    <row r="5" spans="2:17" ht="12.75">
      <c r="B5" s="195"/>
      <c r="C5" s="104" t="s">
        <v>57</v>
      </c>
      <c r="D5" s="196"/>
      <c r="E5" s="197">
        <v>100</v>
      </c>
      <c r="F5" s="197">
        <v>100</v>
      </c>
      <c r="G5" s="197">
        <v>100</v>
      </c>
      <c r="H5" s="197">
        <v>100</v>
      </c>
      <c r="I5" s="197">
        <v>100</v>
      </c>
      <c r="J5" s="197">
        <v>100</v>
      </c>
      <c r="K5" s="198">
        <v>100</v>
      </c>
      <c r="L5" s="198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</row>
    <row r="6" spans="2:17" ht="12.75">
      <c r="B6" s="45"/>
      <c r="C6" s="105" t="s">
        <v>30</v>
      </c>
      <c r="D6" s="141"/>
      <c r="E6" s="112">
        <v>100</v>
      </c>
      <c r="F6" s="112">
        <v>100</v>
      </c>
      <c r="G6" s="112">
        <v>100</v>
      </c>
      <c r="H6" s="112">
        <v>100</v>
      </c>
      <c r="I6" s="112">
        <v>100</v>
      </c>
      <c r="J6" s="112">
        <v>100</v>
      </c>
      <c r="K6" s="113">
        <v>100</v>
      </c>
      <c r="L6" s="113">
        <v>100</v>
      </c>
      <c r="M6" s="113">
        <v>100</v>
      </c>
      <c r="N6" s="113">
        <v>100</v>
      </c>
      <c r="O6" s="113">
        <v>100</v>
      </c>
      <c r="P6" s="113">
        <v>100</v>
      </c>
      <c r="Q6" s="113">
        <v>100</v>
      </c>
    </row>
    <row r="7" spans="2:17" ht="12.75">
      <c r="B7" s="45"/>
      <c r="C7" s="103" t="s">
        <v>31</v>
      </c>
      <c r="D7" s="199">
        <f>E7+F7</f>
        <v>11.85</v>
      </c>
      <c r="E7" s="23">
        <f aca="true" t="shared" si="0" ref="E7:Q7">(E4*E6)/100</f>
        <v>10.75</v>
      </c>
      <c r="F7" s="23">
        <f t="shared" si="0"/>
        <v>1.1</v>
      </c>
      <c r="G7" s="23">
        <f t="shared" si="0"/>
        <v>1.25</v>
      </c>
      <c r="H7" s="23">
        <f t="shared" si="0"/>
        <v>5.5</v>
      </c>
      <c r="I7" s="23">
        <f t="shared" si="0"/>
        <v>6.4</v>
      </c>
      <c r="J7" s="23">
        <f t="shared" si="0"/>
        <v>2</v>
      </c>
      <c r="K7" s="97">
        <f t="shared" si="0"/>
        <v>3</v>
      </c>
      <c r="L7" s="97">
        <f t="shared" si="0"/>
        <v>0.8370000000000001</v>
      </c>
      <c r="M7" s="97">
        <f t="shared" si="0"/>
        <v>0.549</v>
      </c>
      <c r="N7" s="97">
        <f t="shared" si="0"/>
        <v>0.262</v>
      </c>
      <c r="O7" s="97">
        <f t="shared" si="0"/>
        <v>0.21600000000000003</v>
      </c>
      <c r="P7" s="97">
        <f t="shared" si="0"/>
        <v>0.048</v>
      </c>
      <c r="Q7" s="97">
        <f t="shared" si="0"/>
        <v>0.048</v>
      </c>
    </row>
    <row r="8" spans="2:17" ht="12.75">
      <c r="B8" s="45"/>
      <c r="C8" s="118" t="s">
        <v>32</v>
      </c>
      <c r="D8" s="155">
        <f>E8+F8</f>
        <v>0.32</v>
      </c>
      <c r="E8" s="111">
        <v>0.32</v>
      </c>
      <c r="F8" s="111">
        <v>0</v>
      </c>
      <c r="G8" s="111">
        <v>0</v>
      </c>
      <c r="H8" s="111">
        <v>0.07</v>
      </c>
      <c r="I8" s="111">
        <v>4.04</v>
      </c>
      <c r="J8" s="111">
        <v>1.47</v>
      </c>
      <c r="K8" s="114">
        <v>2.82</v>
      </c>
      <c r="L8" s="200">
        <v>0.03</v>
      </c>
      <c r="M8" s="200">
        <v>0.01</v>
      </c>
      <c r="N8" s="200">
        <v>0.5</v>
      </c>
      <c r="O8" s="200">
        <v>0.01</v>
      </c>
      <c r="P8" s="200">
        <v>0.01</v>
      </c>
      <c r="Q8" s="155"/>
    </row>
    <row r="9" spans="2:17" ht="12.75">
      <c r="B9" s="45"/>
      <c r="C9" s="103" t="s">
        <v>56</v>
      </c>
      <c r="D9" s="199">
        <f>E9+F9</f>
        <v>11.53</v>
      </c>
      <c r="E9" s="23">
        <f aca="true" t="shared" si="1" ref="E9:Q9">E7-E8</f>
        <v>10.43</v>
      </c>
      <c r="F9" s="23">
        <f t="shared" si="1"/>
        <v>1.1</v>
      </c>
      <c r="G9" s="23">
        <f t="shared" si="1"/>
        <v>1.25</v>
      </c>
      <c r="H9" s="23">
        <f t="shared" si="1"/>
        <v>5.43</v>
      </c>
      <c r="I9" s="23">
        <f t="shared" si="1"/>
        <v>2.3600000000000003</v>
      </c>
      <c r="J9" s="23">
        <f t="shared" si="1"/>
        <v>0.53</v>
      </c>
      <c r="K9" s="97">
        <f t="shared" si="1"/>
        <v>0.18000000000000016</v>
      </c>
      <c r="L9" s="97">
        <f t="shared" si="1"/>
        <v>0.807</v>
      </c>
      <c r="M9" s="97">
        <f t="shared" si="1"/>
        <v>0.539</v>
      </c>
      <c r="N9" s="97">
        <f t="shared" si="1"/>
        <v>-0.238</v>
      </c>
      <c r="O9" s="97">
        <f t="shared" si="1"/>
        <v>0.20600000000000002</v>
      </c>
      <c r="P9" s="97">
        <f t="shared" si="1"/>
        <v>0.038</v>
      </c>
      <c r="Q9" s="97">
        <f t="shared" si="1"/>
        <v>0.048</v>
      </c>
    </row>
    <row r="10" spans="2:17" ht="13.5" thickBot="1">
      <c r="B10" s="41" t="s">
        <v>75</v>
      </c>
      <c r="C10" s="152" t="s">
        <v>74</v>
      </c>
      <c r="D10" s="201">
        <f>E10+F10</f>
        <v>161.42</v>
      </c>
      <c r="E10" s="153">
        <f>E9*14</f>
        <v>146.01999999999998</v>
      </c>
      <c r="F10" s="153">
        <f>F9*14</f>
        <v>15.400000000000002</v>
      </c>
      <c r="G10" s="153">
        <f>G9*71</f>
        <v>88.75</v>
      </c>
      <c r="H10" s="153">
        <f>H9*47</f>
        <v>255.20999999999998</v>
      </c>
      <c r="I10" s="153">
        <f>I9*28</f>
        <v>66.08000000000001</v>
      </c>
      <c r="J10" s="153">
        <f>J9*20</f>
        <v>10.600000000000001</v>
      </c>
      <c r="K10" s="154">
        <f>K9*16</f>
        <v>2.8800000000000026</v>
      </c>
      <c r="L10" s="154">
        <f aca="true" t="shared" si="2" ref="L10:Q10">L9</f>
        <v>0.807</v>
      </c>
      <c r="M10" s="154">
        <f t="shared" si="2"/>
        <v>0.539</v>
      </c>
      <c r="N10" s="154">
        <f t="shared" si="2"/>
        <v>-0.238</v>
      </c>
      <c r="O10" s="154">
        <f t="shared" si="2"/>
        <v>0.20600000000000002</v>
      </c>
      <c r="P10" s="154">
        <f t="shared" si="2"/>
        <v>0.038</v>
      </c>
      <c r="Q10" s="154">
        <f t="shared" si="2"/>
        <v>0.048</v>
      </c>
    </row>
    <row r="11" spans="3:17" ht="12.75">
      <c r="C11" s="142"/>
      <c r="D11" s="14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ht="13.5" thickBot="1"/>
    <row r="13" spans="2:17" ht="14.25">
      <c r="B13" s="115"/>
      <c r="C13" s="44"/>
      <c r="D13" s="164" t="s">
        <v>86</v>
      </c>
      <c r="E13" s="165" t="s">
        <v>78</v>
      </c>
      <c r="F13" s="109" t="s">
        <v>79</v>
      </c>
      <c r="G13" s="109" t="s">
        <v>91</v>
      </c>
      <c r="H13" s="109" t="s">
        <v>92</v>
      </c>
      <c r="I13" s="109" t="s">
        <v>72</v>
      </c>
      <c r="J13" s="109" t="s">
        <v>70</v>
      </c>
      <c r="K13" s="110" t="s">
        <v>93</v>
      </c>
      <c r="L13" s="109" t="s">
        <v>8</v>
      </c>
      <c r="M13" s="109" t="s">
        <v>10</v>
      </c>
      <c r="N13" s="110" t="s">
        <v>12</v>
      </c>
      <c r="O13" s="109" t="s">
        <v>14</v>
      </c>
      <c r="P13" s="109" t="s">
        <v>16</v>
      </c>
      <c r="Q13" s="110" t="s">
        <v>18</v>
      </c>
    </row>
    <row r="14" spans="1:17" ht="12.75">
      <c r="A14" s="1" t="s">
        <v>77</v>
      </c>
      <c r="B14" s="185" t="s">
        <v>106</v>
      </c>
      <c r="C14" s="149" t="s">
        <v>73</v>
      </c>
      <c r="D14" s="159">
        <f>E14+F14</f>
        <v>12</v>
      </c>
      <c r="E14" s="187">
        <v>10.1</v>
      </c>
      <c r="F14" s="187">
        <v>1.9</v>
      </c>
      <c r="G14" s="187">
        <v>12</v>
      </c>
      <c r="H14" s="187">
        <v>36</v>
      </c>
      <c r="I14" s="187"/>
      <c r="J14" s="187">
        <v>1</v>
      </c>
      <c r="K14" s="188">
        <v>20</v>
      </c>
      <c r="L14" s="188">
        <v>0.07</v>
      </c>
      <c r="M14" s="188">
        <v>0.04</v>
      </c>
      <c r="N14" s="188">
        <v>0.025</v>
      </c>
      <c r="O14" s="188">
        <v>0.025</v>
      </c>
      <c r="P14" s="188">
        <v>0.01</v>
      </c>
      <c r="Q14" s="188">
        <v>0.004</v>
      </c>
    </row>
    <row r="15" spans="2:17" ht="12.75">
      <c r="B15" s="45"/>
      <c r="C15" s="143" t="s">
        <v>85</v>
      </c>
      <c r="D15" s="157">
        <f>E15+F15</f>
        <v>120</v>
      </c>
      <c r="E15" s="144">
        <f aca="true" t="shared" si="3" ref="E15:J15">E14*10</f>
        <v>101</v>
      </c>
      <c r="F15" s="144">
        <f t="shared" si="3"/>
        <v>19</v>
      </c>
      <c r="G15" s="144">
        <f t="shared" si="3"/>
        <v>120</v>
      </c>
      <c r="H15" s="144">
        <f t="shared" si="3"/>
        <v>360</v>
      </c>
      <c r="I15" s="144">
        <f t="shared" si="3"/>
        <v>0</v>
      </c>
      <c r="J15" s="144">
        <f t="shared" si="3"/>
        <v>10</v>
      </c>
      <c r="K15" s="145">
        <f>K14/2.5</f>
        <v>8</v>
      </c>
      <c r="L15" s="145">
        <f aca="true" t="shared" si="4" ref="L15:Q15">L14*10</f>
        <v>0.7000000000000001</v>
      </c>
      <c r="M15" s="145">
        <f t="shared" si="4"/>
        <v>0.4</v>
      </c>
      <c r="N15" s="145">
        <f t="shared" si="4"/>
        <v>0.25</v>
      </c>
      <c r="O15" s="145">
        <f t="shared" si="4"/>
        <v>0.25</v>
      </c>
      <c r="P15" s="145">
        <f t="shared" si="4"/>
        <v>0.1</v>
      </c>
      <c r="Q15" s="145">
        <f t="shared" si="4"/>
        <v>0.04</v>
      </c>
    </row>
    <row r="16" spans="2:17" ht="12.75">
      <c r="B16" s="186">
        <v>0.72</v>
      </c>
      <c r="C16" s="133" t="s">
        <v>84</v>
      </c>
      <c r="D16" s="140">
        <f>E16+F16</f>
        <v>86.4</v>
      </c>
      <c r="E16" s="131">
        <f aca="true" t="shared" si="5" ref="E16:Q16">E15*$B$16</f>
        <v>72.72</v>
      </c>
      <c r="F16" s="131">
        <f t="shared" si="5"/>
        <v>13.68</v>
      </c>
      <c r="G16" s="131">
        <f t="shared" si="5"/>
        <v>86.39999999999999</v>
      </c>
      <c r="H16" s="131">
        <f t="shared" si="5"/>
        <v>259.2</v>
      </c>
      <c r="I16" s="131">
        <f t="shared" si="5"/>
        <v>0</v>
      </c>
      <c r="J16" s="131">
        <f t="shared" si="5"/>
        <v>7.199999999999999</v>
      </c>
      <c r="K16" s="132">
        <f t="shared" si="5"/>
        <v>5.76</v>
      </c>
      <c r="L16" s="132">
        <f t="shared" si="5"/>
        <v>0.504</v>
      </c>
      <c r="M16" s="132">
        <f t="shared" si="5"/>
        <v>0.288</v>
      </c>
      <c r="N16" s="132">
        <f t="shared" si="5"/>
        <v>0.18</v>
      </c>
      <c r="O16" s="132">
        <f t="shared" si="5"/>
        <v>0.18</v>
      </c>
      <c r="P16" s="132">
        <f t="shared" si="5"/>
        <v>0.072</v>
      </c>
      <c r="Q16" s="132">
        <f t="shared" si="5"/>
        <v>0.0288</v>
      </c>
    </row>
    <row r="17" spans="2:17" ht="13.5" thickBot="1">
      <c r="B17" s="171"/>
      <c r="C17" s="202"/>
      <c r="D17" s="203">
        <f aca="true" t="shared" si="6" ref="D17:Q17">D16/D10</f>
        <v>0.5352496592739439</v>
      </c>
      <c r="E17" s="204">
        <f t="shared" si="6"/>
        <v>0.49801397068894676</v>
      </c>
      <c r="F17" s="204">
        <f t="shared" si="6"/>
        <v>0.8883116883116882</v>
      </c>
      <c r="G17" s="204">
        <f t="shared" si="6"/>
        <v>0.9735211267605632</v>
      </c>
      <c r="H17" s="204">
        <f t="shared" si="6"/>
        <v>1.0156341836134948</v>
      </c>
      <c r="I17" s="204">
        <f t="shared" si="6"/>
        <v>0</v>
      </c>
      <c r="J17" s="204">
        <f t="shared" si="6"/>
        <v>0.6792452830188678</v>
      </c>
      <c r="K17" s="205">
        <f t="shared" si="6"/>
        <v>1.9999999999999982</v>
      </c>
      <c r="L17" s="205">
        <f t="shared" si="6"/>
        <v>0.6245353159851301</v>
      </c>
      <c r="M17" s="205">
        <f t="shared" si="6"/>
        <v>0.5343228200371056</v>
      </c>
      <c r="N17" s="205">
        <f t="shared" si="6"/>
        <v>-0.7563025210084033</v>
      </c>
      <c r="O17" s="205">
        <f t="shared" si="6"/>
        <v>0.8737864077669902</v>
      </c>
      <c r="P17" s="205">
        <f t="shared" si="6"/>
        <v>1.894736842105263</v>
      </c>
      <c r="Q17" s="205">
        <f t="shared" si="6"/>
        <v>0.6</v>
      </c>
    </row>
    <row r="18" spans="2:17" ht="14.25">
      <c r="B18" s="45"/>
      <c r="C18" s="13"/>
      <c r="D18" s="206" t="s">
        <v>86</v>
      </c>
      <c r="E18" s="207" t="s">
        <v>78</v>
      </c>
      <c r="F18" s="208" t="s">
        <v>79</v>
      </c>
      <c r="G18" s="208" t="s">
        <v>91</v>
      </c>
      <c r="H18" s="208" t="s">
        <v>92</v>
      </c>
      <c r="I18" s="208" t="s">
        <v>72</v>
      </c>
      <c r="J18" s="208" t="s">
        <v>70</v>
      </c>
      <c r="K18" s="209" t="s">
        <v>93</v>
      </c>
      <c r="L18" s="109" t="s">
        <v>8</v>
      </c>
      <c r="M18" s="109" t="s">
        <v>10</v>
      </c>
      <c r="N18" s="110" t="s">
        <v>12</v>
      </c>
      <c r="O18" s="109" t="s">
        <v>14</v>
      </c>
      <c r="P18" s="109" t="s">
        <v>16</v>
      </c>
      <c r="Q18" s="110" t="s">
        <v>18</v>
      </c>
    </row>
    <row r="19" spans="1:17" ht="12.75">
      <c r="A19" s="1" t="s">
        <v>14</v>
      </c>
      <c r="B19" s="210" t="s">
        <v>116</v>
      </c>
      <c r="C19" s="211" t="s">
        <v>73</v>
      </c>
      <c r="D19" s="212">
        <f>E19+F19</f>
        <v>0</v>
      </c>
      <c r="E19" s="213"/>
      <c r="F19" s="213"/>
      <c r="G19" s="213"/>
      <c r="H19" s="213"/>
      <c r="I19" s="213"/>
      <c r="J19" s="213">
        <v>16</v>
      </c>
      <c r="K19" s="214">
        <v>32</v>
      </c>
      <c r="L19" s="214"/>
      <c r="M19" s="214"/>
      <c r="N19" s="214"/>
      <c r="O19" s="214"/>
      <c r="P19" s="214"/>
      <c r="Q19" s="214"/>
    </row>
    <row r="20" spans="2:17" ht="12.75">
      <c r="B20" s="45"/>
      <c r="C20" s="143" t="s">
        <v>85</v>
      </c>
      <c r="D20" s="157">
        <f>E20+F20</f>
        <v>0</v>
      </c>
      <c r="E20" s="144">
        <f aca="true" t="shared" si="7" ref="E20:J20">E19*10</f>
        <v>0</v>
      </c>
      <c r="F20" s="144">
        <f t="shared" si="7"/>
        <v>0</v>
      </c>
      <c r="G20" s="144">
        <f t="shared" si="7"/>
        <v>0</v>
      </c>
      <c r="H20" s="144">
        <f t="shared" si="7"/>
        <v>0</v>
      </c>
      <c r="I20" s="144">
        <f t="shared" si="7"/>
        <v>0</v>
      </c>
      <c r="J20" s="144">
        <f t="shared" si="7"/>
        <v>160</v>
      </c>
      <c r="K20" s="145">
        <f>K19/2.5</f>
        <v>12.8</v>
      </c>
      <c r="L20" s="145">
        <f aca="true" t="shared" si="8" ref="L20:Q20">L19*10</f>
        <v>0</v>
      </c>
      <c r="M20" s="145">
        <f t="shared" si="8"/>
        <v>0</v>
      </c>
      <c r="N20" s="145">
        <f t="shared" si="8"/>
        <v>0</v>
      </c>
      <c r="O20" s="145">
        <f t="shared" si="8"/>
        <v>0</v>
      </c>
      <c r="P20" s="145">
        <f t="shared" si="8"/>
        <v>0</v>
      </c>
      <c r="Q20" s="145">
        <f t="shared" si="8"/>
        <v>0</v>
      </c>
    </row>
    <row r="21" spans="2:17" ht="12.75">
      <c r="B21" s="186">
        <v>0.025</v>
      </c>
      <c r="C21" s="133" t="s">
        <v>84</v>
      </c>
      <c r="D21" s="140">
        <f>E21+F21</f>
        <v>0</v>
      </c>
      <c r="E21" s="131">
        <f aca="true" t="shared" si="9" ref="E21:Q21">E20*$B$21</f>
        <v>0</v>
      </c>
      <c r="F21" s="131">
        <f t="shared" si="9"/>
        <v>0</v>
      </c>
      <c r="G21" s="131">
        <f t="shared" si="9"/>
        <v>0</v>
      </c>
      <c r="H21" s="131">
        <f t="shared" si="9"/>
        <v>0</v>
      </c>
      <c r="I21" s="131">
        <f t="shared" si="9"/>
        <v>0</v>
      </c>
      <c r="J21" s="131">
        <f t="shared" si="9"/>
        <v>4</v>
      </c>
      <c r="K21" s="132">
        <f t="shared" si="9"/>
        <v>0.32000000000000006</v>
      </c>
      <c r="L21" s="132">
        <f t="shared" si="9"/>
        <v>0</v>
      </c>
      <c r="M21" s="132">
        <f t="shared" si="9"/>
        <v>0</v>
      </c>
      <c r="N21" s="132">
        <f t="shared" si="9"/>
        <v>0</v>
      </c>
      <c r="O21" s="132">
        <f t="shared" si="9"/>
        <v>0</v>
      </c>
      <c r="P21" s="132">
        <f t="shared" si="9"/>
        <v>0</v>
      </c>
      <c r="Q21" s="132">
        <f t="shared" si="9"/>
        <v>0</v>
      </c>
    </row>
    <row r="22" spans="2:17" ht="13.5" thickBot="1">
      <c r="B22" s="41"/>
      <c r="C22" s="146"/>
      <c r="D22" s="158">
        <f aca="true" t="shared" si="10" ref="D22:Q22">D21/D10</f>
        <v>0</v>
      </c>
      <c r="E22" s="147">
        <f t="shared" si="10"/>
        <v>0</v>
      </c>
      <c r="F22" s="147">
        <f t="shared" si="10"/>
        <v>0</v>
      </c>
      <c r="G22" s="147">
        <f t="shared" si="10"/>
        <v>0</v>
      </c>
      <c r="H22" s="147">
        <f t="shared" si="10"/>
        <v>0</v>
      </c>
      <c r="I22" s="147">
        <f t="shared" si="10"/>
        <v>0</v>
      </c>
      <c r="J22" s="147">
        <f t="shared" si="10"/>
        <v>0.3773584905660377</v>
      </c>
      <c r="K22" s="148">
        <f t="shared" si="10"/>
        <v>0.11111111111111104</v>
      </c>
      <c r="L22" s="148">
        <f t="shared" si="10"/>
        <v>0</v>
      </c>
      <c r="M22" s="148">
        <f t="shared" si="10"/>
        <v>0</v>
      </c>
      <c r="N22" s="148">
        <f t="shared" si="10"/>
        <v>0</v>
      </c>
      <c r="O22" s="148">
        <f t="shared" si="10"/>
        <v>0</v>
      </c>
      <c r="P22" s="148">
        <f t="shared" si="10"/>
        <v>0</v>
      </c>
      <c r="Q22" s="148">
        <f t="shared" si="10"/>
        <v>0</v>
      </c>
    </row>
    <row r="23" spans="2:17" ht="14.25">
      <c r="B23" s="115"/>
      <c r="C23" s="44"/>
      <c r="D23" s="164" t="s">
        <v>86</v>
      </c>
      <c r="E23" s="165" t="s">
        <v>78</v>
      </c>
      <c r="F23" s="109" t="s">
        <v>79</v>
      </c>
      <c r="G23" s="109" t="s">
        <v>91</v>
      </c>
      <c r="H23" s="109" t="s">
        <v>92</v>
      </c>
      <c r="I23" s="109" t="s">
        <v>72</v>
      </c>
      <c r="J23" s="109" t="s">
        <v>70</v>
      </c>
      <c r="K23" s="110" t="s">
        <v>93</v>
      </c>
      <c r="L23" s="109" t="s">
        <v>8</v>
      </c>
      <c r="M23" s="109" t="s">
        <v>10</v>
      </c>
      <c r="N23" s="110" t="s">
        <v>12</v>
      </c>
      <c r="O23" s="109" t="s">
        <v>14</v>
      </c>
      <c r="P23" s="109" t="s">
        <v>16</v>
      </c>
      <c r="Q23" s="110" t="s">
        <v>18</v>
      </c>
    </row>
    <row r="24" spans="1:17" ht="12.75">
      <c r="A24" s="1" t="s">
        <v>89</v>
      </c>
      <c r="B24" s="228" t="s">
        <v>117</v>
      </c>
      <c r="C24" s="229" t="s">
        <v>73</v>
      </c>
      <c r="D24" s="230">
        <f>E24+F24</f>
        <v>0</v>
      </c>
      <c r="E24" s="231"/>
      <c r="F24" s="231"/>
      <c r="G24" s="231"/>
      <c r="H24" s="231"/>
      <c r="I24" s="231"/>
      <c r="J24" s="231"/>
      <c r="K24" s="232"/>
      <c r="L24" s="232">
        <v>8.5</v>
      </c>
      <c r="M24" s="232">
        <v>4.4</v>
      </c>
      <c r="N24" s="232">
        <v>1.8</v>
      </c>
      <c r="O24" s="232">
        <v>1.7</v>
      </c>
      <c r="P24" s="232">
        <v>0.5</v>
      </c>
      <c r="Q24" s="232">
        <v>0.5</v>
      </c>
    </row>
    <row r="25" spans="2:17" ht="12.75">
      <c r="B25" s="45"/>
      <c r="C25" s="143" t="s">
        <v>85</v>
      </c>
      <c r="D25" s="157">
        <f>E25+F25</f>
        <v>0</v>
      </c>
      <c r="E25" s="144">
        <f aca="true" t="shared" si="11" ref="E25:J25">E24*10</f>
        <v>0</v>
      </c>
      <c r="F25" s="144">
        <f t="shared" si="11"/>
        <v>0</v>
      </c>
      <c r="G25" s="144">
        <f t="shared" si="11"/>
        <v>0</v>
      </c>
      <c r="H25" s="144">
        <f t="shared" si="11"/>
        <v>0</v>
      </c>
      <c r="I25" s="144">
        <f t="shared" si="11"/>
        <v>0</v>
      </c>
      <c r="J25" s="144">
        <f t="shared" si="11"/>
        <v>0</v>
      </c>
      <c r="K25" s="145">
        <f>K24/2.5</f>
        <v>0</v>
      </c>
      <c r="L25" s="145">
        <f aca="true" t="shared" si="12" ref="L25:Q25">L24*10</f>
        <v>85</v>
      </c>
      <c r="M25" s="145">
        <f t="shared" si="12"/>
        <v>44</v>
      </c>
      <c r="N25" s="145">
        <f t="shared" si="12"/>
        <v>18</v>
      </c>
      <c r="O25" s="145">
        <f t="shared" si="12"/>
        <v>17</v>
      </c>
      <c r="P25" s="145">
        <f t="shared" si="12"/>
        <v>5</v>
      </c>
      <c r="Q25" s="145">
        <f t="shared" si="12"/>
        <v>5</v>
      </c>
    </row>
    <row r="26" spans="2:17" ht="12.75">
      <c r="B26" s="186">
        <v>0.005</v>
      </c>
      <c r="C26" s="133" t="s">
        <v>84</v>
      </c>
      <c r="D26" s="140">
        <f>E26+F26</f>
        <v>0</v>
      </c>
      <c r="E26" s="131">
        <f aca="true" t="shared" si="13" ref="E26:Q26">E25*$B$26</f>
        <v>0</v>
      </c>
      <c r="F26" s="131">
        <f t="shared" si="13"/>
        <v>0</v>
      </c>
      <c r="G26" s="131">
        <f t="shared" si="13"/>
        <v>0</v>
      </c>
      <c r="H26" s="131">
        <f t="shared" si="13"/>
        <v>0</v>
      </c>
      <c r="I26" s="131">
        <f t="shared" si="13"/>
        <v>0</v>
      </c>
      <c r="J26" s="131">
        <f t="shared" si="13"/>
        <v>0</v>
      </c>
      <c r="K26" s="132">
        <f t="shared" si="13"/>
        <v>0</v>
      </c>
      <c r="L26" s="132">
        <f t="shared" si="13"/>
        <v>0.425</v>
      </c>
      <c r="M26" s="132">
        <f t="shared" si="13"/>
        <v>0.22</v>
      </c>
      <c r="N26" s="132">
        <f t="shared" si="13"/>
        <v>0.09</v>
      </c>
      <c r="O26" s="132">
        <f t="shared" si="13"/>
        <v>0.085</v>
      </c>
      <c r="P26" s="132">
        <f t="shared" si="13"/>
        <v>0.025</v>
      </c>
      <c r="Q26" s="132">
        <f t="shared" si="13"/>
        <v>0.025</v>
      </c>
    </row>
    <row r="27" spans="2:17" ht="13.5" thickBot="1">
      <c r="B27" s="41"/>
      <c r="C27" s="146"/>
      <c r="D27" s="158">
        <f aca="true" t="shared" si="14" ref="D27:Q27">D26/D10</f>
        <v>0</v>
      </c>
      <c r="E27" s="147">
        <f t="shared" si="14"/>
        <v>0</v>
      </c>
      <c r="F27" s="147">
        <f t="shared" si="14"/>
        <v>0</v>
      </c>
      <c r="G27" s="147">
        <f t="shared" si="14"/>
        <v>0</v>
      </c>
      <c r="H27" s="147">
        <f t="shared" si="14"/>
        <v>0</v>
      </c>
      <c r="I27" s="147">
        <f t="shared" si="14"/>
        <v>0</v>
      </c>
      <c r="J27" s="147">
        <f t="shared" si="14"/>
        <v>0</v>
      </c>
      <c r="K27" s="148">
        <f t="shared" si="14"/>
        <v>0</v>
      </c>
      <c r="L27" s="148">
        <f t="shared" si="14"/>
        <v>0.5266418835192069</v>
      </c>
      <c r="M27" s="148">
        <f t="shared" si="14"/>
        <v>0.4081632653061224</v>
      </c>
      <c r="N27" s="148">
        <f t="shared" si="14"/>
        <v>-0.37815126050420167</v>
      </c>
      <c r="O27" s="148">
        <f t="shared" si="14"/>
        <v>0.41262135922330095</v>
      </c>
      <c r="P27" s="148">
        <f t="shared" si="14"/>
        <v>0.6578947368421053</v>
      </c>
      <c r="Q27" s="148">
        <f t="shared" si="14"/>
        <v>0.5208333333333334</v>
      </c>
    </row>
    <row r="28" spans="2:17" ht="14.25">
      <c r="B28" s="115"/>
      <c r="C28" s="44"/>
      <c r="D28" s="164" t="s">
        <v>86</v>
      </c>
      <c r="E28" s="165" t="s">
        <v>78</v>
      </c>
      <c r="F28" s="109" t="s">
        <v>79</v>
      </c>
      <c r="G28" s="109" t="s">
        <v>91</v>
      </c>
      <c r="H28" s="109" t="s">
        <v>92</v>
      </c>
      <c r="I28" s="109" t="s">
        <v>72</v>
      </c>
      <c r="J28" s="109" t="s">
        <v>70</v>
      </c>
      <c r="K28" s="110" t="s">
        <v>93</v>
      </c>
      <c r="L28" s="109" t="s">
        <v>8</v>
      </c>
      <c r="M28" s="109" t="s">
        <v>10</v>
      </c>
      <c r="N28" s="110" t="s">
        <v>12</v>
      </c>
      <c r="O28" s="109" t="s">
        <v>14</v>
      </c>
      <c r="P28" s="109" t="s">
        <v>16</v>
      </c>
      <c r="Q28" s="110" t="s">
        <v>18</v>
      </c>
    </row>
    <row r="29" spans="1:17" ht="12.75">
      <c r="A29" s="1" t="s">
        <v>107</v>
      </c>
      <c r="B29" s="189" t="s">
        <v>71</v>
      </c>
      <c r="C29" s="150" t="s">
        <v>73</v>
      </c>
      <c r="D29" s="160">
        <f>E29+F29</f>
        <v>15.5</v>
      </c>
      <c r="E29" s="190">
        <v>14.4</v>
      </c>
      <c r="F29" s="190">
        <v>1.1</v>
      </c>
      <c r="G29" s="190"/>
      <c r="H29" s="190"/>
      <c r="I29" s="190">
        <v>26.5</v>
      </c>
      <c r="J29" s="190"/>
      <c r="K29" s="191"/>
      <c r="L29" s="191"/>
      <c r="M29" s="191"/>
      <c r="N29" s="191"/>
      <c r="O29" s="191"/>
      <c r="P29" s="191"/>
      <c r="Q29" s="191"/>
    </row>
    <row r="30" spans="2:17" ht="12.75">
      <c r="B30" s="45"/>
      <c r="C30" s="143" t="s">
        <v>85</v>
      </c>
      <c r="D30" s="157">
        <f>E30+F30</f>
        <v>155</v>
      </c>
      <c r="E30" s="144">
        <f aca="true" t="shared" si="15" ref="E30:J30">E29*10</f>
        <v>144</v>
      </c>
      <c r="F30" s="144">
        <f t="shared" si="15"/>
        <v>11</v>
      </c>
      <c r="G30" s="144">
        <f t="shared" si="15"/>
        <v>0</v>
      </c>
      <c r="H30" s="144">
        <f t="shared" si="15"/>
        <v>0</v>
      </c>
      <c r="I30" s="144">
        <f t="shared" si="15"/>
        <v>265</v>
      </c>
      <c r="J30" s="144">
        <f t="shared" si="15"/>
        <v>0</v>
      </c>
      <c r="K30" s="145">
        <f>K29/2.5</f>
        <v>0</v>
      </c>
      <c r="L30" s="145">
        <f aca="true" t="shared" si="16" ref="L30:Q30">L29*10</f>
        <v>0</v>
      </c>
      <c r="M30" s="145">
        <f t="shared" si="16"/>
        <v>0</v>
      </c>
      <c r="N30" s="145">
        <f t="shared" si="16"/>
        <v>0</v>
      </c>
      <c r="O30" s="145">
        <f t="shared" si="16"/>
        <v>0</v>
      </c>
      <c r="P30" s="145">
        <f t="shared" si="16"/>
        <v>0</v>
      </c>
      <c r="Q30" s="145">
        <f t="shared" si="16"/>
        <v>0</v>
      </c>
    </row>
    <row r="31" spans="2:17" ht="12.75">
      <c r="B31" s="186">
        <v>0.29</v>
      </c>
      <c r="C31" s="133" t="s">
        <v>84</v>
      </c>
      <c r="D31" s="140">
        <f>E31+F31</f>
        <v>44.949999999999996</v>
      </c>
      <c r="E31" s="131">
        <f aca="true" t="shared" si="17" ref="E31:Q31">E30*$B$31</f>
        <v>41.76</v>
      </c>
      <c r="F31" s="131">
        <f t="shared" si="17"/>
        <v>3.19</v>
      </c>
      <c r="G31" s="131">
        <f t="shared" si="17"/>
        <v>0</v>
      </c>
      <c r="H31" s="131">
        <f t="shared" si="17"/>
        <v>0</v>
      </c>
      <c r="I31" s="131">
        <f t="shared" si="17"/>
        <v>76.85</v>
      </c>
      <c r="J31" s="131">
        <f t="shared" si="17"/>
        <v>0</v>
      </c>
      <c r="K31" s="132">
        <f t="shared" si="17"/>
        <v>0</v>
      </c>
      <c r="L31" s="132">
        <f t="shared" si="17"/>
        <v>0</v>
      </c>
      <c r="M31" s="132">
        <f t="shared" si="17"/>
        <v>0</v>
      </c>
      <c r="N31" s="132">
        <f t="shared" si="17"/>
        <v>0</v>
      </c>
      <c r="O31" s="132">
        <f t="shared" si="17"/>
        <v>0</v>
      </c>
      <c r="P31" s="132">
        <f t="shared" si="17"/>
        <v>0</v>
      </c>
      <c r="Q31" s="132">
        <f t="shared" si="17"/>
        <v>0</v>
      </c>
    </row>
    <row r="32" spans="2:17" ht="13.5" thickBot="1">
      <c r="B32" s="41"/>
      <c r="C32" s="146"/>
      <c r="D32" s="158">
        <f aca="true" t="shared" si="18" ref="D32:Q32">D31/D10</f>
        <v>0.2784661132449511</v>
      </c>
      <c r="E32" s="147">
        <f t="shared" si="18"/>
        <v>0.2859882207916724</v>
      </c>
      <c r="F32" s="147">
        <f t="shared" si="18"/>
        <v>0.2071428571428571</v>
      </c>
      <c r="G32" s="147">
        <f t="shared" si="18"/>
        <v>0</v>
      </c>
      <c r="H32" s="147">
        <f t="shared" si="18"/>
        <v>0</v>
      </c>
      <c r="I32" s="147">
        <f t="shared" si="18"/>
        <v>1.1629842615012103</v>
      </c>
      <c r="J32" s="147">
        <f t="shared" si="18"/>
        <v>0</v>
      </c>
      <c r="K32" s="148">
        <f t="shared" si="18"/>
        <v>0</v>
      </c>
      <c r="L32" s="148">
        <f t="shared" si="18"/>
        <v>0</v>
      </c>
      <c r="M32" s="148">
        <f t="shared" si="18"/>
        <v>0</v>
      </c>
      <c r="N32" s="148">
        <f t="shared" si="18"/>
        <v>0</v>
      </c>
      <c r="O32" s="148">
        <f t="shared" si="18"/>
        <v>0</v>
      </c>
      <c r="P32" s="148">
        <f t="shared" si="18"/>
        <v>0</v>
      </c>
      <c r="Q32" s="148">
        <f t="shared" si="18"/>
        <v>0</v>
      </c>
    </row>
    <row r="33" spans="1:17" ht="14.25">
      <c r="A33" s="1" t="s">
        <v>109</v>
      </c>
      <c r="B33" s="115"/>
      <c r="C33" s="44"/>
      <c r="D33" s="164" t="s">
        <v>86</v>
      </c>
      <c r="E33" s="165" t="s">
        <v>78</v>
      </c>
      <c r="F33" s="109" t="s">
        <v>79</v>
      </c>
      <c r="G33" s="109" t="s">
        <v>91</v>
      </c>
      <c r="H33" s="109" t="s">
        <v>92</v>
      </c>
      <c r="I33" s="109" t="s">
        <v>72</v>
      </c>
      <c r="J33" s="109" t="s">
        <v>70</v>
      </c>
      <c r="K33" s="110" t="s">
        <v>93</v>
      </c>
      <c r="L33" s="109" t="s">
        <v>8</v>
      </c>
      <c r="M33" s="109" t="s">
        <v>10</v>
      </c>
      <c r="N33" s="110" t="s">
        <v>12</v>
      </c>
      <c r="O33" s="109" t="s">
        <v>14</v>
      </c>
      <c r="P33" s="109" t="s">
        <v>16</v>
      </c>
      <c r="Q33" s="110" t="s">
        <v>18</v>
      </c>
    </row>
    <row r="34" spans="2:17" ht="12.75">
      <c r="B34" s="189" t="s">
        <v>160</v>
      </c>
      <c r="C34" s="150" t="s">
        <v>73</v>
      </c>
      <c r="D34" s="160">
        <f>E34+F34</f>
        <v>0</v>
      </c>
      <c r="E34" s="190"/>
      <c r="F34" s="190"/>
      <c r="G34" s="190"/>
      <c r="H34" s="190"/>
      <c r="I34" s="190"/>
      <c r="J34" s="190"/>
      <c r="K34" s="191"/>
      <c r="L34" s="191">
        <v>10</v>
      </c>
      <c r="M34" s="191"/>
      <c r="N34" s="191"/>
      <c r="O34" s="191"/>
      <c r="P34" s="191"/>
      <c r="Q34" s="191"/>
    </row>
    <row r="35" spans="2:17" ht="12.75">
      <c r="B35" s="45"/>
      <c r="C35" s="143" t="s">
        <v>85</v>
      </c>
      <c r="D35" s="157">
        <f>E35+F35</f>
        <v>0</v>
      </c>
      <c r="E35" s="144">
        <f aca="true" t="shared" si="19" ref="E35:J35">E34*10</f>
        <v>0</v>
      </c>
      <c r="F35" s="144">
        <f t="shared" si="19"/>
        <v>0</v>
      </c>
      <c r="G35" s="144">
        <f t="shared" si="19"/>
        <v>0</v>
      </c>
      <c r="H35" s="144">
        <f t="shared" si="19"/>
        <v>0</v>
      </c>
      <c r="I35" s="144">
        <f t="shared" si="19"/>
        <v>0</v>
      </c>
      <c r="J35" s="144">
        <f t="shared" si="19"/>
        <v>0</v>
      </c>
      <c r="K35" s="145">
        <f>K34/2.5</f>
        <v>0</v>
      </c>
      <c r="L35" s="145">
        <f aca="true" t="shared" si="20" ref="L35:Q35">L34*10</f>
        <v>100</v>
      </c>
      <c r="M35" s="145">
        <f t="shared" si="20"/>
        <v>0</v>
      </c>
      <c r="N35" s="145">
        <f t="shared" si="20"/>
        <v>0</v>
      </c>
      <c r="O35" s="145">
        <f t="shared" si="20"/>
        <v>0</v>
      </c>
      <c r="P35" s="145">
        <f t="shared" si="20"/>
        <v>0</v>
      </c>
      <c r="Q35" s="145">
        <f t="shared" si="20"/>
        <v>0</v>
      </c>
    </row>
    <row r="36" spans="2:17" ht="12.75">
      <c r="B36" s="186"/>
      <c r="C36" s="133" t="s">
        <v>84</v>
      </c>
      <c r="D36" s="140">
        <f>E36+F36</f>
        <v>0</v>
      </c>
      <c r="E36" s="131">
        <f aca="true" t="shared" si="21" ref="E36:Q36">E35*$B$36</f>
        <v>0</v>
      </c>
      <c r="F36" s="131">
        <f t="shared" si="21"/>
        <v>0</v>
      </c>
      <c r="G36" s="131">
        <f t="shared" si="21"/>
        <v>0</v>
      </c>
      <c r="H36" s="131">
        <f t="shared" si="21"/>
        <v>0</v>
      </c>
      <c r="I36" s="131">
        <f t="shared" si="21"/>
        <v>0</v>
      </c>
      <c r="J36" s="131">
        <f t="shared" si="21"/>
        <v>0</v>
      </c>
      <c r="K36" s="132">
        <f t="shared" si="21"/>
        <v>0</v>
      </c>
      <c r="L36" s="132">
        <f t="shared" si="21"/>
        <v>0</v>
      </c>
      <c r="M36" s="132">
        <f t="shared" si="21"/>
        <v>0</v>
      </c>
      <c r="N36" s="132">
        <f t="shared" si="21"/>
        <v>0</v>
      </c>
      <c r="O36" s="132">
        <f t="shared" si="21"/>
        <v>0</v>
      </c>
      <c r="P36" s="132">
        <f t="shared" si="21"/>
        <v>0</v>
      </c>
      <c r="Q36" s="132">
        <f t="shared" si="21"/>
        <v>0</v>
      </c>
    </row>
    <row r="37" spans="2:17" ht="13.5" thickBot="1">
      <c r="B37" s="41"/>
      <c r="C37" s="146"/>
      <c r="D37" s="158">
        <f aca="true" t="shared" si="22" ref="D37:Q37">D36/D10</f>
        <v>0</v>
      </c>
      <c r="E37" s="147">
        <f t="shared" si="22"/>
        <v>0</v>
      </c>
      <c r="F37" s="147">
        <f t="shared" si="22"/>
        <v>0</v>
      </c>
      <c r="G37" s="147">
        <f t="shared" si="22"/>
        <v>0</v>
      </c>
      <c r="H37" s="147">
        <f t="shared" si="22"/>
        <v>0</v>
      </c>
      <c r="I37" s="147">
        <f t="shared" si="22"/>
        <v>0</v>
      </c>
      <c r="J37" s="147">
        <f t="shared" si="22"/>
        <v>0</v>
      </c>
      <c r="K37" s="148">
        <f t="shared" si="22"/>
        <v>0</v>
      </c>
      <c r="L37" s="148">
        <f t="shared" si="22"/>
        <v>0</v>
      </c>
      <c r="M37" s="148">
        <f t="shared" si="22"/>
        <v>0</v>
      </c>
      <c r="N37" s="148">
        <f t="shared" si="22"/>
        <v>0</v>
      </c>
      <c r="O37" s="148">
        <f t="shared" si="22"/>
        <v>0</v>
      </c>
      <c r="P37" s="148">
        <f t="shared" si="22"/>
        <v>0</v>
      </c>
      <c r="Q37" s="148">
        <f t="shared" si="22"/>
        <v>0</v>
      </c>
    </row>
    <row r="38" spans="2:17" ht="14.25">
      <c r="B38" s="184" t="s">
        <v>88</v>
      </c>
      <c r="C38" s="163"/>
      <c r="D38" s="164" t="s">
        <v>86</v>
      </c>
      <c r="E38" s="165" t="s">
        <v>78</v>
      </c>
      <c r="F38" s="109" t="s">
        <v>79</v>
      </c>
      <c r="G38" s="109" t="s">
        <v>91</v>
      </c>
      <c r="H38" s="109" t="s">
        <v>92</v>
      </c>
      <c r="I38" s="109" t="s">
        <v>72</v>
      </c>
      <c r="J38" s="109" t="s">
        <v>70</v>
      </c>
      <c r="K38" s="110" t="s">
        <v>93</v>
      </c>
      <c r="L38" s="109" t="s">
        <v>8</v>
      </c>
      <c r="M38" s="109" t="s">
        <v>10</v>
      </c>
      <c r="N38" s="110" t="s">
        <v>12</v>
      </c>
      <c r="O38" s="109" t="s">
        <v>14</v>
      </c>
      <c r="P38" s="109" t="s">
        <v>16</v>
      </c>
      <c r="Q38" s="110" t="s">
        <v>18</v>
      </c>
    </row>
    <row r="39" spans="2:17" ht="12.75">
      <c r="B39" s="186">
        <v>26</v>
      </c>
      <c r="C39" s="143" t="s">
        <v>87</v>
      </c>
      <c r="D39" s="140">
        <f>E39+F39</f>
        <v>40.559999999999995</v>
      </c>
      <c r="E39" s="131">
        <f>B39*15.6/10</f>
        <v>40.559999999999995</v>
      </c>
      <c r="F39" s="131"/>
      <c r="G39" s="131"/>
      <c r="H39" s="131"/>
      <c r="I39" s="131"/>
      <c r="J39" s="131"/>
      <c r="K39" s="132"/>
      <c r="L39" s="132"/>
      <c r="M39" s="132"/>
      <c r="N39" s="132"/>
      <c r="O39" s="132"/>
      <c r="P39" s="132"/>
      <c r="Q39" s="132"/>
    </row>
    <row r="40" spans="2:17" ht="12.75">
      <c r="B40" s="166" t="s">
        <v>110</v>
      </c>
      <c r="C40" s="151" t="s">
        <v>76</v>
      </c>
      <c r="D40" s="161">
        <f aca="true" t="shared" si="23" ref="D40:Q40">D16+D31+D39+D21+D36+D26</f>
        <v>171.91</v>
      </c>
      <c r="E40" s="162">
        <f t="shared" si="23"/>
        <v>155.04</v>
      </c>
      <c r="F40" s="162">
        <f t="shared" si="23"/>
        <v>16.87</v>
      </c>
      <c r="G40" s="162">
        <f t="shared" si="23"/>
        <v>86.39999999999999</v>
      </c>
      <c r="H40" s="162">
        <f t="shared" si="23"/>
        <v>259.2</v>
      </c>
      <c r="I40" s="162">
        <f t="shared" si="23"/>
        <v>76.85</v>
      </c>
      <c r="J40" s="162">
        <f t="shared" si="23"/>
        <v>11.2</v>
      </c>
      <c r="K40" s="162">
        <f t="shared" si="23"/>
        <v>6.08</v>
      </c>
      <c r="L40" s="161">
        <f t="shared" si="23"/>
        <v>0.929</v>
      </c>
      <c r="M40" s="161">
        <f t="shared" si="23"/>
        <v>0.508</v>
      </c>
      <c r="N40" s="161">
        <f t="shared" si="23"/>
        <v>0.27</v>
      </c>
      <c r="O40" s="161">
        <f t="shared" si="23"/>
        <v>0.265</v>
      </c>
      <c r="P40" s="161">
        <f t="shared" si="23"/>
        <v>0.097</v>
      </c>
      <c r="Q40" s="161">
        <f t="shared" si="23"/>
        <v>0.0538</v>
      </c>
    </row>
    <row r="41" spans="2:17" ht="13.5" thickBot="1">
      <c r="B41" s="41"/>
      <c r="C41" s="42"/>
      <c r="D41" s="158">
        <f aca="true" t="shared" si="24" ref="D41:Q41">D40/D10</f>
        <v>1.0649857514558296</v>
      </c>
      <c r="E41" s="147">
        <f t="shared" si="24"/>
        <v>1.0617723599506919</v>
      </c>
      <c r="F41" s="147">
        <f t="shared" si="24"/>
        <v>1.0954545454545455</v>
      </c>
      <c r="G41" s="147">
        <f t="shared" si="24"/>
        <v>0.9735211267605632</v>
      </c>
      <c r="H41" s="147">
        <f t="shared" si="24"/>
        <v>1.0156341836134948</v>
      </c>
      <c r="I41" s="147">
        <f t="shared" si="24"/>
        <v>1.1629842615012103</v>
      </c>
      <c r="J41" s="147">
        <f t="shared" si="24"/>
        <v>1.0566037735849054</v>
      </c>
      <c r="K41" s="148">
        <f t="shared" si="24"/>
        <v>2.1111111111111094</v>
      </c>
      <c r="L41" s="148">
        <f t="shared" si="24"/>
        <v>1.151177199504337</v>
      </c>
      <c r="M41" s="148">
        <f t="shared" si="24"/>
        <v>0.9424860853432282</v>
      </c>
      <c r="N41" s="148">
        <f t="shared" si="24"/>
        <v>-1.1344537815126052</v>
      </c>
      <c r="O41" s="148">
        <f t="shared" si="24"/>
        <v>1.2864077669902911</v>
      </c>
      <c r="P41" s="148">
        <f t="shared" si="24"/>
        <v>2.5526315789473686</v>
      </c>
      <c r="Q41" s="148">
        <f t="shared" si="24"/>
        <v>1.1208333333333333</v>
      </c>
    </row>
    <row r="43" spans="8:15" ht="13.5">
      <c r="H43" s="284" t="s">
        <v>103</v>
      </c>
      <c r="I43" s="284"/>
      <c r="J43" s="284"/>
      <c r="K43" s="284"/>
      <c r="L43" s="284"/>
      <c r="M43" s="284"/>
      <c r="N43" s="284"/>
      <c r="O43" s="284"/>
    </row>
    <row r="44" spans="2:15" ht="18.75" thickBot="1">
      <c r="B44" s="169" t="s">
        <v>94</v>
      </c>
      <c r="H44" s="224"/>
      <c r="I44" s="285" t="s">
        <v>104</v>
      </c>
      <c r="J44" s="285"/>
      <c r="K44" s="285"/>
      <c r="L44" s="285"/>
      <c r="M44" s="285"/>
      <c r="N44" s="285"/>
      <c r="O44" s="285"/>
    </row>
    <row r="45" ht="13.5" thickBot="1">
      <c r="E45" s="174" t="s">
        <v>100</v>
      </c>
    </row>
    <row r="46" spans="2:13" ht="12.75">
      <c r="B46" s="115"/>
      <c r="C46" s="106" t="s">
        <v>96</v>
      </c>
      <c r="D46" s="216" t="s">
        <v>97</v>
      </c>
      <c r="E46" s="192">
        <v>15</v>
      </c>
      <c r="F46" s="175" t="s">
        <v>101</v>
      </c>
      <c r="G46" s="107" t="s">
        <v>98</v>
      </c>
      <c r="H46" s="107" t="s">
        <v>24</v>
      </c>
      <c r="J46" s="233" t="s">
        <v>34</v>
      </c>
      <c r="K46" s="234" t="s">
        <v>105</v>
      </c>
      <c r="L46" s="167"/>
      <c r="M46" s="238"/>
    </row>
    <row r="47" spans="2:13" ht="12.75">
      <c r="B47" s="170" t="s">
        <v>95</v>
      </c>
      <c r="C47" s="167" t="str">
        <f>B14</f>
        <v>Kristalon rouge</v>
      </c>
      <c r="D47" s="217">
        <v>10</v>
      </c>
      <c r="E47" s="176">
        <f aca="true" t="shared" si="25" ref="E47:E52">D47*$E$46/100</f>
        <v>1.5</v>
      </c>
      <c r="F47" s="177" t="s">
        <v>102</v>
      </c>
      <c r="G47" s="173">
        <f>B16/D47*10</f>
        <v>0.72</v>
      </c>
      <c r="H47" s="173">
        <f>(B16+B31+B21)/0.8</f>
        <v>1.2937499999999997</v>
      </c>
      <c r="J47" s="239">
        <f>(H40/47+H8)/(I40/28+I8)</f>
        <v>0.8231669278127902</v>
      </c>
      <c r="K47" s="23">
        <f>(H40/47+H8)/((I40/28+I8)+(J40/20+J8))</f>
        <v>0.6335927283197429</v>
      </c>
      <c r="L47" s="13" t="s">
        <v>111</v>
      </c>
      <c r="M47" s="240"/>
    </row>
    <row r="48" spans="2:13" ht="12.75">
      <c r="B48" s="45"/>
      <c r="C48" s="13" t="str">
        <f>B24</f>
        <v>Hauert Oligo</v>
      </c>
      <c r="D48" s="220">
        <f>B26*100/G47/10</f>
        <v>0.06944444444444445</v>
      </c>
      <c r="E48" s="221">
        <f t="shared" si="25"/>
        <v>0.010416666666666668</v>
      </c>
      <c r="F48" s="222"/>
      <c r="G48" s="223"/>
      <c r="H48" s="223"/>
      <c r="J48" s="241">
        <v>0.86</v>
      </c>
      <c r="K48" s="242">
        <v>0.65</v>
      </c>
      <c r="L48" s="168" t="s">
        <v>112</v>
      </c>
      <c r="M48" s="243"/>
    </row>
    <row r="49" spans="2:13" ht="13.5" thickBot="1">
      <c r="B49" s="171"/>
      <c r="C49" s="168" t="str">
        <f>B19</f>
        <v>Sulfate de magnésie</v>
      </c>
      <c r="D49" s="218">
        <f>B21*100/G47/10</f>
        <v>0.3472222222222222</v>
      </c>
      <c r="E49" s="219">
        <f t="shared" si="25"/>
        <v>0.05208333333333333</v>
      </c>
      <c r="F49" s="178"/>
      <c r="G49" s="172"/>
      <c r="H49" s="172"/>
      <c r="J49" s="233" t="s">
        <v>24</v>
      </c>
      <c r="K49" s="234" t="s">
        <v>1</v>
      </c>
      <c r="L49" s="167"/>
      <c r="M49" s="238"/>
    </row>
    <row r="50" spans="2:13" ht="12.75">
      <c r="B50" s="170" t="s">
        <v>99</v>
      </c>
      <c r="C50" s="167" t="str">
        <f>B29</f>
        <v>Nitrate de calcium</v>
      </c>
      <c r="D50" s="217">
        <v>10</v>
      </c>
      <c r="E50" s="176">
        <f t="shared" si="25"/>
        <v>1.5</v>
      </c>
      <c r="F50" s="177" t="s">
        <v>102</v>
      </c>
      <c r="G50" s="173">
        <f>B31/D50*10</f>
        <v>0.29</v>
      </c>
      <c r="J50" s="244" t="s">
        <v>118</v>
      </c>
      <c r="K50" s="14" t="s">
        <v>119</v>
      </c>
      <c r="L50" s="13" t="s">
        <v>113</v>
      </c>
      <c r="M50" s="240"/>
    </row>
    <row r="51" spans="2:13" ht="12.75">
      <c r="B51" s="45"/>
      <c r="C51" s="13" t="str">
        <f>B34</f>
        <v>fer EDTA 10%</v>
      </c>
      <c r="D51" s="220">
        <f>B36*100/G50/10</f>
        <v>0</v>
      </c>
      <c r="E51" s="221">
        <f t="shared" si="25"/>
        <v>0</v>
      </c>
      <c r="F51" s="222"/>
      <c r="G51" s="223"/>
      <c r="J51" s="241" t="s">
        <v>143</v>
      </c>
      <c r="K51" s="242"/>
      <c r="L51" s="168" t="s">
        <v>114</v>
      </c>
      <c r="M51" s="243"/>
    </row>
    <row r="52" spans="2:7" ht="13.5" thickBot="1">
      <c r="B52" s="41"/>
      <c r="C52" s="42" t="str">
        <f>B38</f>
        <v>Acide nitrique 60 %</v>
      </c>
      <c r="D52" s="218">
        <f>B39*100/G50/1000</f>
        <v>8.965517241379311</v>
      </c>
      <c r="E52" s="219">
        <f t="shared" si="25"/>
        <v>1.3448275862068968</v>
      </c>
      <c r="F52" s="179" t="s">
        <v>101</v>
      </c>
      <c r="G52" s="72"/>
    </row>
  </sheetData>
  <sheetProtection password="8669" sheet="1" objects="1" scenarios="1"/>
  <mergeCells count="4">
    <mergeCell ref="L2:Q2"/>
    <mergeCell ref="H43:O43"/>
    <mergeCell ref="I44:O44"/>
    <mergeCell ref="C1:K1"/>
  </mergeCells>
  <printOptions horizontalCentered="1" verticalCentered="1"/>
  <pageMargins left="0.5905511811023623" right="0.5905511811023623" top="0.34" bottom="0.5905511811023623" header="0.31496062992125984" footer="0.31496062992125984"/>
  <pageSetup fitToHeight="1" fitToWidth="1" horizontalDpi="600" verticalDpi="600" orientation="landscape" paperSize="9" scale="76" r:id="rId3"/>
  <headerFooter alignWithMargins="0">
    <oddFooter>&amp;L&amp;"Arial,Normal"&amp;8VG/&amp;F/&amp;A&amp;RChâteauneuf&amp;D</oddFooter>
  </headerFooter>
  <legacyDrawing r:id="rId2"/>
  <oleObjects>
    <oleObject progId="Word.Picture.8" shapeId="11619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SRROSIER</dc:title>
  <dc:subject/>
  <dc:creator>RAC - Changins</dc:creator>
  <cp:keywords/>
  <dc:description/>
  <cp:lastModifiedBy>AC_VS</cp:lastModifiedBy>
  <cp:lastPrinted>2006-06-12T11:07:05Z</cp:lastPrinted>
  <dcterms:created xsi:type="dcterms:W3CDTF">2000-03-16T13:46:54Z</dcterms:created>
  <dcterms:modified xsi:type="dcterms:W3CDTF">2009-03-26T13:51:33Z</dcterms:modified>
  <cp:category/>
  <cp:version/>
  <cp:contentType/>
  <cp:contentStatus/>
</cp:coreProperties>
</file>