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6_0.bin" ContentType="application/vnd.openxmlformats-officedocument.oleObject"/>
  <Override PartName="/xl/embeddings/oleObject_9_0.bin" ContentType="application/vnd.openxmlformats-officedocument.oleObject"/>
  <Override PartName="/xl/embeddings/oleObject_12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936" activeTab="0"/>
  </bookViews>
  <sheets>
    <sheet name="Equilibres recy" sheetId="1" r:id="rId1"/>
    <sheet name="ER Puit06" sheetId="2" r:id="rId2"/>
    <sheet name="Fertnat PalmecoMix" sheetId="3" r:id="rId3"/>
    <sheet name="Saturnat PalmecoMix" sheetId="4" r:id="rId4"/>
    <sheet name="Sol nut 2 sem" sheetId="5" r:id="rId5"/>
    <sheet name="Fert 2sem" sheetId="6" r:id="rId6"/>
    <sheet name="SR2sem" sheetId="7" r:id="rId7"/>
    <sheet name="Sol nut 4-8 sem" sheetId="8" r:id="rId8"/>
    <sheet name="Fert 4-8sem" sheetId="9" r:id="rId9"/>
    <sheet name="SR4-8sem" sheetId="10" r:id="rId10"/>
    <sheet name="Sol nut norm" sheetId="11" r:id="rId11"/>
    <sheet name="Fert prod norm" sheetId="12" r:id="rId12"/>
    <sheet name="SR prod norm" sheetId="13" r:id="rId13"/>
    <sheet name="Fert prod élevée" sheetId="14" r:id="rId14"/>
    <sheet name="SR prod élevée" sheetId="15" r:id="rId15"/>
    <sheet name="OESR" sheetId="16" r:id="rId16"/>
    <sheet name="Quantité d'engrais" sheetId="17" r:id="rId17"/>
  </sheets>
  <externalReferences>
    <externalReference r:id="rId20"/>
  </externalReferences>
  <definedNames>
    <definedName name="_xlnm.Print_Area" localSheetId="5">'Fert 2sem'!$A$1:$K$38</definedName>
    <definedName name="_xlnm.Print_Area" localSheetId="8">'Fert 4-8sem'!$A$1:$K$38</definedName>
    <definedName name="_xlnm.Print_Area" localSheetId="13">'Fert prod élevée'!$A$1:$K$38</definedName>
    <definedName name="_xlnm.Print_Area" localSheetId="11">'Fert prod norm'!$A$1:$K$38</definedName>
    <definedName name="_xlnm.Print_Area" localSheetId="2">'Fertnat PalmecoMix'!$A$1:$K$38</definedName>
    <definedName name="_xlnm.Print_Area" localSheetId="15">'OESR'!$A$1:$J$33</definedName>
    <definedName name="_xlnm.Print_Area" localSheetId="16">'Quantité d''engrais'!$A$1:$E$50</definedName>
    <definedName name="_xlnm.Print_Area" localSheetId="3">'Saturnat PalmecoMix'!$A$1:$E$53</definedName>
    <definedName name="_xlnm.Print_Area" localSheetId="14">'SR prod élevée'!$A$1:$E$53</definedName>
    <definedName name="_xlnm.Print_Area" localSheetId="12">'SR prod norm'!$A$1:$E$53</definedName>
    <definedName name="_xlnm.Print_Area" localSheetId="6">'SR2sem'!$A$1:$E$53</definedName>
    <definedName name="_xlnm.Print_Area" localSheetId="9">'SR4-8sem'!$A$1:$E$42</definedName>
  </definedNames>
  <calcPr fullCalcOnLoad="1"/>
</workbook>
</file>

<file path=xl/sharedStrings.xml><?xml version="1.0" encoding="utf-8"?>
<sst xmlns="http://schemas.openxmlformats.org/spreadsheetml/2006/main" count="1179" uniqueCount="249">
  <si>
    <t xml:space="preserve">sn base </t>
  </si>
  <si>
    <t>pH</t>
  </si>
  <si>
    <r>
      <t xml:space="preserve">EC </t>
    </r>
    <r>
      <rPr>
        <sz val="10"/>
        <rFont val="Symbol"/>
        <family val="1"/>
      </rPr>
      <t>m</t>
    </r>
    <r>
      <rPr>
        <sz val="10"/>
        <rFont val="Arial"/>
        <family val="2"/>
      </rPr>
      <t>S.cm</t>
    </r>
    <r>
      <rPr>
        <vertAlign val="superscript"/>
        <sz val="10"/>
        <rFont val="Arial"/>
        <family val="2"/>
      </rPr>
      <t>-1</t>
    </r>
  </si>
  <si>
    <t>mg/l</t>
  </si>
  <si>
    <t>mol/l</t>
  </si>
  <si>
    <t>méq/l</t>
  </si>
  <si>
    <r>
      <t>m</t>
    </r>
    <r>
      <rPr>
        <sz val="10"/>
        <color indexed="8"/>
        <rFont val="Arial"/>
        <family val="2"/>
      </rPr>
      <t>-mol/l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</si>
  <si>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</si>
  <si>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Fe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</si>
  <si>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</si>
  <si>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Mn</t>
  </si>
  <si>
    <r>
      <t>SO</t>
    </r>
    <r>
      <rPr>
        <vertAlign val="subscript"/>
        <sz val="10"/>
        <rFont val="Arial"/>
        <family val="2"/>
      </rPr>
      <t>4</t>
    </r>
  </si>
  <si>
    <t>Zn</t>
  </si>
  <si>
    <r>
      <t>NH</t>
    </r>
    <r>
      <rPr>
        <vertAlign val="subscript"/>
        <sz val="10"/>
        <rFont val="Arial"/>
        <family val="2"/>
      </rPr>
      <t>4</t>
    </r>
  </si>
  <si>
    <t>B</t>
  </si>
  <si>
    <t>K</t>
  </si>
  <si>
    <t>Cu</t>
  </si>
  <si>
    <t>Ca</t>
  </si>
  <si>
    <t>Mo</t>
  </si>
  <si>
    <t>Mg</t>
  </si>
  <si>
    <t>Réf. SC</t>
  </si>
  <si>
    <t>Réf. anal.</t>
  </si>
  <si>
    <t>Dates prél.</t>
  </si>
  <si>
    <t>diff. % sn</t>
  </si>
  <si>
    <t>EC</t>
  </si>
  <si>
    <t>Na</t>
  </si>
  <si>
    <t>Cl</t>
  </si>
  <si>
    <r>
      <t>m</t>
    </r>
    <r>
      <rPr>
        <sz val="10"/>
        <rFont val="Arial"/>
        <family val="2"/>
      </rPr>
      <t>-mol/l</t>
    </r>
  </si>
  <si>
    <t>Eléments</t>
  </si>
  <si>
    <t>mg pour 
1 méq</t>
  </si>
  <si>
    <t>ml/l</t>
  </si>
  <si>
    <t>Base méq/l</t>
  </si>
  <si>
    <r>
      <t>D</t>
    </r>
    <r>
      <rPr>
        <sz val="10"/>
        <color indexed="10"/>
        <rFont val="Arial"/>
        <family val="2"/>
      </rPr>
      <t xml:space="preserve"> %</t>
    </r>
  </si>
  <si>
    <t>Corr. %</t>
  </si>
  <si>
    <t>Total I méq/l</t>
  </si>
  <si>
    <t>E.R.</t>
  </si>
  <si>
    <t>Total a méq/l</t>
  </si>
  <si>
    <r>
      <t>HNO</t>
    </r>
    <r>
      <rPr>
        <vertAlign val="subscript"/>
        <sz val="10"/>
        <rFont val="Arial"/>
        <family val="2"/>
      </rPr>
      <t>3</t>
    </r>
  </si>
  <si>
    <r>
      <t>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</si>
  <si>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Nitr. de Ca</t>
  </si>
  <si>
    <r>
      <t>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</si>
  <si>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</si>
  <si>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KNO</t>
    </r>
    <r>
      <rPr>
        <vertAlign val="sub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</si>
  <si>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</si>
  <si>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</si>
  <si>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</si>
  <si>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 xml:space="preserve"> </t>
  </si>
  <si>
    <t>Total b</t>
  </si>
  <si>
    <r>
      <t>D</t>
    </r>
    <r>
      <rPr>
        <sz val="10"/>
        <rFont val="Arial"/>
        <family val="2"/>
      </rPr>
      <t xml:space="preserve"> %  ab</t>
    </r>
  </si>
  <si>
    <t>Total  b + ER</t>
  </si>
  <si>
    <t>Oligo-éléments</t>
  </si>
  <si>
    <t>Base m-mol/l</t>
  </si>
  <si>
    <t>E.R. m-mol/l</t>
  </si>
  <si>
    <t>E.R. méq/l</t>
  </si>
  <si>
    <t>OESR ml/l</t>
  </si>
  <si>
    <r>
      <t>Corr.</t>
    </r>
    <r>
      <rPr>
        <sz val="10"/>
        <color indexed="10"/>
        <rFont val="Symbol"/>
        <family val="1"/>
      </rPr>
      <t xml:space="preserve"> m</t>
    </r>
    <r>
      <rPr>
        <sz val="10"/>
        <color indexed="10"/>
        <rFont val="Arial"/>
        <family val="2"/>
      </rPr>
      <t>-mol/l</t>
    </r>
  </si>
  <si>
    <r>
      <t xml:space="preserve">Total </t>
    </r>
    <r>
      <rPr>
        <sz val="10"/>
        <rFont val="Symbol"/>
        <family val="1"/>
      </rPr>
      <t>m</t>
    </r>
    <r>
      <rPr>
        <sz val="10"/>
        <rFont val="Arial"/>
        <family val="2"/>
      </rPr>
      <t>-mol/l</t>
    </r>
  </si>
  <si>
    <r>
      <t xml:space="preserve">OE Norme </t>
    </r>
    <r>
      <rPr>
        <sz val="8"/>
        <rFont val="Symbol"/>
        <family val="1"/>
      </rPr>
      <t>m-</t>
    </r>
    <r>
      <rPr>
        <sz val="8"/>
        <rFont val="Arial"/>
        <family val="2"/>
      </rPr>
      <t>mol/l</t>
    </r>
  </si>
  <si>
    <r>
      <t>D</t>
    </r>
    <r>
      <rPr>
        <sz val="10"/>
        <color indexed="8"/>
        <rFont val="Arial"/>
        <family val="2"/>
      </rPr>
      <t xml:space="preserve"> %  Norme</t>
    </r>
  </si>
  <si>
    <t>Quantité:</t>
  </si>
  <si>
    <t>Solution stock
1:100
g/l</t>
  </si>
  <si>
    <t>Solution A</t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</si>
  <si>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</si>
  <si>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</si>
  <si>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</si>
  <si>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</si>
  <si>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Oligo- éléments (OESR)</t>
  </si>
  <si>
    <t>Solution B</t>
  </si>
  <si>
    <r>
      <t>Nitrate de potasse   KNO</t>
    </r>
    <r>
      <rPr>
        <vertAlign val="subscript"/>
        <sz val="10"/>
        <rFont val="Arial"/>
        <family val="2"/>
      </rPr>
      <t>3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</si>
  <si>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>4</t>
    </r>
  </si>
  <si>
    <t>Solution C</t>
  </si>
  <si>
    <r>
      <t>Acide nitrique 60%; d = 1,37   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 </t>
    </r>
  </si>
  <si>
    <t>Consignes:</t>
  </si>
  <si>
    <t>K/Ca+Mg</t>
  </si>
  <si>
    <r>
      <t xml:space="preserve">Corr. 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2"/>
      </rPr>
      <t>-mol/l</t>
    </r>
  </si>
  <si>
    <r>
      <t xml:space="preserve">OE Norme </t>
    </r>
    <r>
      <rPr>
        <sz val="9"/>
        <rFont val="Symbol"/>
        <family val="1"/>
      </rPr>
      <t>m-</t>
    </r>
    <r>
      <rPr>
        <sz val="9"/>
        <rFont val="Arial"/>
        <family val="2"/>
      </rPr>
      <t>mol/l</t>
    </r>
  </si>
  <si>
    <r>
      <t xml:space="preserve">Base </t>
    </r>
    <r>
      <rPr>
        <sz val="10"/>
        <rFont val="Symbol"/>
        <family val="1"/>
      </rPr>
      <t>m</t>
    </r>
    <r>
      <rPr>
        <sz val="10"/>
        <rFont val="Arial"/>
        <family val="2"/>
      </rPr>
      <t>-mol/l</t>
    </r>
  </si>
  <si>
    <r>
      <t xml:space="preserve">E.R. </t>
    </r>
    <r>
      <rPr>
        <sz val="10"/>
        <rFont val="Symbol"/>
        <family val="1"/>
      </rPr>
      <t>m</t>
    </r>
    <r>
      <rPr>
        <sz val="10"/>
        <rFont val="Arial"/>
        <family val="2"/>
      </rPr>
      <t>-mol/l</t>
    </r>
  </si>
  <si>
    <t>K/Ca</t>
  </si>
  <si>
    <t>CIT</t>
  </si>
  <si>
    <t>A - C</t>
  </si>
  <si>
    <r>
      <t>NH</t>
    </r>
    <r>
      <rPr>
        <b/>
        <vertAlign val="subscript"/>
        <sz val="10"/>
        <color indexed="10"/>
        <rFont val="Arial"/>
        <family val="2"/>
      </rPr>
      <t>4</t>
    </r>
  </si>
  <si>
    <r>
      <t>NH</t>
    </r>
    <r>
      <rPr>
        <b/>
        <vertAlign val="subscript"/>
        <sz val="10"/>
        <color indexed="56"/>
        <rFont val="Arial"/>
        <family val="2"/>
      </rPr>
      <t>4</t>
    </r>
  </si>
  <si>
    <r>
      <t>NO</t>
    </r>
    <r>
      <rPr>
        <b/>
        <vertAlign val="subscript"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</t>
    </r>
  </si>
  <si>
    <r>
      <t>Solution nutritive tomate; production élevée pendant de courtes périodes 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-K =&gt; +1 à 2 mmol/l</t>
    </r>
  </si>
  <si>
    <t>Solution nutritive tomate; production normale</t>
  </si>
  <si>
    <t>Solution nutritive des nattes: tomate</t>
  </si>
  <si>
    <t>Solution nutritive tomate; 4 à 8 premières semaines de culture</t>
  </si>
  <si>
    <t>Solution nutritive tomate; 2 premières semaines de culture</t>
  </si>
  <si>
    <t>Solution nutritive tomate; saturation des nattes des nattes</t>
  </si>
  <si>
    <r>
      <t xml:space="preserve">EC </t>
    </r>
    <r>
      <rPr>
        <sz val="10"/>
        <color indexed="14"/>
        <rFont val="Symbol"/>
        <family val="1"/>
      </rPr>
      <t>m</t>
    </r>
    <r>
      <rPr>
        <sz val="10"/>
        <color indexed="14"/>
        <rFont val="Arial"/>
        <family val="2"/>
      </rPr>
      <t>S.cm</t>
    </r>
    <r>
      <rPr>
        <vertAlign val="superscript"/>
        <sz val="10"/>
        <color indexed="14"/>
        <rFont val="Arial"/>
        <family val="2"/>
      </rPr>
      <t>-1</t>
    </r>
  </si>
  <si>
    <t>Total II méq/l</t>
  </si>
  <si>
    <t>Total II</t>
  </si>
  <si>
    <r>
      <t>D</t>
    </r>
    <r>
      <rPr>
        <sz val="10"/>
        <rFont val="Arial"/>
        <family val="2"/>
      </rPr>
      <t xml:space="preserve"> %</t>
    </r>
  </si>
  <si>
    <t>SOLUTION NUTRITIVE</t>
  </si>
  <si>
    <t>g/l</t>
  </si>
  <si>
    <r>
      <t>D</t>
    </r>
    <r>
      <rPr>
        <sz val="10"/>
        <color indexed="10"/>
        <rFont val="Arial"/>
        <family val="2"/>
      </rPr>
      <t xml:space="preserve"> % Analyse</t>
    </r>
  </si>
  <si>
    <t>TOMATE</t>
  </si>
  <si>
    <t xml:space="preserve">SATURATION DES NATTES </t>
  </si>
  <si>
    <t xml:space="preserve">Distribution: </t>
  </si>
  <si>
    <r>
      <t>NH</t>
    </r>
    <r>
      <rPr>
        <b/>
        <vertAlign val="subscript"/>
        <sz val="10"/>
        <rFont val="Arial"/>
        <family val="2"/>
      </rPr>
      <t>4</t>
    </r>
  </si>
  <si>
    <r>
      <t>NO</t>
    </r>
    <r>
      <rPr>
        <b/>
        <vertAlign val="subscript"/>
        <sz val="10"/>
        <rFont val="Arial"/>
        <family val="2"/>
      </rPr>
      <t>3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</si>
  <si>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PO</t>
    </r>
    <r>
      <rPr>
        <b/>
        <vertAlign val="subscript"/>
        <sz val="10"/>
        <rFont val="Arial"/>
        <family val="2"/>
      </rPr>
      <t>4</t>
    </r>
  </si>
  <si>
    <r>
      <t>SO</t>
    </r>
    <r>
      <rPr>
        <b/>
        <vertAlign val="subscript"/>
        <sz val="10"/>
        <rFont val="Arial"/>
        <family val="2"/>
      </rPr>
      <t>4</t>
    </r>
  </si>
  <si>
    <r>
      <t>HCO</t>
    </r>
    <r>
      <rPr>
        <b/>
        <vertAlign val="subscript"/>
        <sz val="10"/>
        <rFont val="Arial"/>
        <family val="2"/>
      </rPr>
      <t>3</t>
    </r>
  </si>
  <si>
    <t>SS 1:100
kg/xxl
Solution kg/xxl</t>
  </si>
  <si>
    <t>Pour x litres de solution mère</t>
  </si>
  <si>
    <t>(Quantité de solution OESR à diluer dans le bac A)</t>
  </si>
  <si>
    <t>Fe DTPA 11% (FeSR) (litres à diluer dans le bac B)</t>
  </si>
  <si>
    <t>litres</t>
  </si>
  <si>
    <t>kg/l</t>
  </si>
  <si>
    <r>
      <t>NO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</si>
  <si>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r>
      <t>m</t>
    </r>
    <r>
      <rPr>
        <b/>
        <sz val="10"/>
        <color indexed="8"/>
        <rFont val="Arial"/>
        <family val="2"/>
      </rPr>
      <t>-mol/l</t>
    </r>
  </si>
  <si>
    <r>
      <t xml:space="preserve">S </t>
    </r>
    <r>
      <rPr>
        <b/>
        <sz val="10"/>
        <rFont val="Arial"/>
        <family val="2"/>
      </rPr>
      <t>anions</t>
    </r>
  </si>
  <si>
    <r>
      <t>S</t>
    </r>
    <r>
      <rPr>
        <b/>
        <sz val="10"/>
        <rFont val="Arial"/>
        <family val="2"/>
      </rPr>
      <t xml:space="preserve"> cations</t>
    </r>
  </si>
  <si>
    <r>
      <t>EC mS.cm</t>
    </r>
    <r>
      <rPr>
        <b/>
        <vertAlign val="superscript"/>
        <sz val="10"/>
        <rFont val="Arial"/>
        <family val="2"/>
      </rPr>
      <t>-1</t>
    </r>
  </si>
  <si>
    <t>Correction selon la solution recyclée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</si>
  <si>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</si>
  <si>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SOLUTION POUR LES 2 PREMIERES SEMAINES</t>
  </si>
  <si>
    <r>
      <t>Dihydrogénophosphate d'ammonium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</si>
  <si>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</si>
  <si>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SOLUTION POUR LES 4 à 8 PREMIERES SEMAINES</t>
  </si>
  <si>
    <t>(Analyse eau du réseau du</t>
  </si>
  <si>
    <t>SOLUTION POUR PRODUCTION NORMALE</t>
  </si>
  <si>
    <t>S2</t>
  </si>
  <si>
    <t>Conversion de mg/l à m-mol/l</t>
  </si>
  <si>
    <t>kg/xxl</t>
  </si>
  <si>
    <t>Quantité d'engrais pour le stock</t>
  </si>
  <si>
    <t>Surface de la serre en m2</t>
  </si>
  <si>
    <r>
      <t>Phosphate monopotassique   KH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(P 22,8% - K 28.7%)</t>
    </r>
  </si>
  <si>
    <r>
      <t>Nitrate de magnésium   Mg(NO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.6H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(N 10,5% - Mg 9%)</t>
    </r>
  </si>
  <si>
    <r>
      <t>Phosphate monoammonique   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>(P 26,6% - K 12%)</t>
    </r>
  </si>
  <si>
    <r>
      <t>Sulfate de magnésium   MgSO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.7H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(S 12.5% - Mg 9.8)</t>
    </r>
  </si>
  <si>
    <r>
      <t>Nitrate d'ammonium  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34,8%)</t>
    </r>
  </si>
  <si>
    <r>
      <t>Sulfate de potasse  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  (S 18,2% - K 41,3%)</t>
    </r>
  </si>
  <si>
    <r>
      <t>Sulfate d'ammonium   (NH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 (N 21%)</t>
    </r>
  </si>
  <si>
    <t>Total en kg</t>
  </si>
  <si>
    <r>
      <t>Nitrate de potasse   KNO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(N 13% - K 38%)</t>
    </r>
  </si>
  <si>
    <r>
      <t>Nitrate de chaux   5(Ca(NO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0)NO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NH</t>
    </r>
    <r>
      <rPr>
        <vertAlign val="subscript"/>
        <sz val="10"/>
        <rFont val="Arial"/>
        <family val="2"/>
      </rPr>
      <t xml:space="preserve">4  </t>
    </r>
    <r>
      <rPr>
        <sz val="10"/>
        <rFont val="Arial"/>
        <family val="2"/>
      </rPr>
      <t xml:space="preserve"> (N 15,5% - Ca 20%)</t>
    </r>
  </si>
  <si>
    <t>Fe DTPA 13,1% (FeSR)</t>
  </si>
  <si>
    <t>Besoins en kg</t>
  </si>
  <si>
    <t>Fe DTPA 11.1% (FeSR) (litres à diluer dans le bac B)</t>
  </si>
  <si>
    <t>SOLUTIONS-MERES OLIGO-ELEMENTS/Fe</t>
  </si>
  <si>
    <t>OLIGO-ELEMENTS (OESR)</t>
  </si>
  <si>
    <t>Concentration 10000 x</t>
  </si>
  <si>
    <t>g/I</t>
  </si>
  <si>
    <t>g/5 l</t>
  </si>
  <si>
    <t>g/20 l</t>
  </si>
  <si>
    <t>Sulfate de manganese (Mn 32%)</t>
  </si>
  <si>
    <r>
      <t>MnSO</t>
    </r>
    <r>
      <rPr>
        <vertAlign val="subscript"/>
        <sz val="12"/>
        <rFont val="Arial"/>
        <family val="2"/>
      </rPr>
      <t xml:space="preserve">4 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</si>
  <si>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Sulfate de zinc (Zn 36.4%)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</si>
  <si>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</si>
  <si>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ou (Zn 22.7%)</t>
  </si>
  <si>
    <r>
      <t>ZnSO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</si>
  <si>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Acide borique (B 18%)</t>
  </si>
  <si>
    <r>
      <t>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BO</t>
    </r>
    <r>
      <rPr>
        <vertAlign val="subscript"/>
        <sz val="12"/>
        <rFont val="Arial"/>
        <family val="2"/>
      </rPr>
      <t>3</t>
    </r>
  </si>
  <si>
    <t>Sulfate de cuivre (Cu 25%)</t>
  </si>
  <si>
    <r>
      <t>CuSO</t>
    </r>
    <r>
      <rPr>
        <vertAlign val="subscript"/>
        <sz val="12"/>
        <rFont val="Arial"/>
        <family val="2"/>
      </rPr>
      <t>4</t>
    </r>
  </si>
  <si>
    <t>Molybdate d'ammonium (Mo 40%)</t>
  </si>
  <si>
    <r>
      <t>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Mo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 xml:space="preserve">24 </t>
    </r>
    <r>
      <rPr>
        <sz val="12"/>
        <rFont val="Arial"/>
        <family val="2"/>
      </rPr>
      <t>4H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</si>
  <si>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CHELATE DE FER  HORS SOL (FeSR)</t>
  </si>
  <si>
    <t>Concentration 2000 x</t>
  </si>
  <si>
    <t>Fe DTPA 11 %</t>
  </si>
  <si>
    <t>5</t>
  </si>
  <si>
    <t>%</t>
  </si>
  <si>
    <t>Analyse eau du puit</t>
  </si>
  <si>
    <r>
      <t>Solution nutritive préparée avec l'</t>
    </r>
    <r>
      <rPr>
        <u val="single"/>
        <sz val="10"/>
        <rFont val="Arial"/>
        <family val="2"/>
      </rPr>
      <t xml:space="preserve">eau du puit
</t>
    </r>
  </si>
  <si>
    <r>
      <t>Phosphate monopotassique   KH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4</t>
    </r>
  </si>
  <si>
    <r>
      <t>Dihydrogénophosphate d'ammonium   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PO</t>
    </r>
    <r>
      <rPr>
        <vertAlign val="subscript"/>
        <sz val="12"/>
        <rFont val="Arial"/>
        <family val="2"/>
      </rPr>
      <t>4</t>
    </r>
  </si>
  <si>
    <r>
      <t>Nitrate de magnésium   Mg(NO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.6H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</si>
  <si>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Sulfate de magnésium   MgSO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.7H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</si>
  <si>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Nitrate d'ammonium   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NH</t>
    </r>
    <r>
      <rPr>
        <vertAlign val="subscript"/>
        <sz val="12"/>
        <rFont val="Arial"/>
        <family val="2"/>
      </rPr>
      <t>4</t>
    </r>
  </si>
  <si>
    <r>
      <t>Sulfate de potasse  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SO</t>
    </r>
    <r>
      <rPr>
        <vertAlign val="subscript"/>
        <sz val="12"/>
        <rFont val="Arial"/>
        <family val="2"/>
      </rPr>
      <t>4</t>
    </r>
  </si>
  <si>
    <r>
      <t>Sulfate d'ammonium   (NH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SO</t>
    </r>
    <r>
      <rPr>
        <vertAlign val="subscript"/>
        <sz val="12"/>
        <rFont val="Arial"/>
        <family val="2"/>
      </rPr>
      <t>4</t>
    </r>
  </si>
  <si>
    <r>
      <t>Nitrate de potasse   KNO</t>
    </r>
    <r>
      <rPr>
        <vertAlign val="subscript"/>
        <sz val="12"/>
        <rFont val="Arial"/>
        <family val="2"/>
      </rPr>
      <t>3</t>
    </r>
  </si>
  <si>
    <r>
      <t>Nitrate de chaux   5(Ca(NO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2H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0)NO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NH</t>
    </r>
    <r>
      <rPr>
        <vertAlign val="subscript"/>
        <sz val="12"/>
        <rFont val="Arial"/>
        <family val="2"/>
      </rPr>
      <t>4</t>
    </r>
  </si>
  <si>
    <r>
      <t>Acide nitrique 60%; d = 1,37   HNO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 </t>
    </r>
  </si>
  <si>
    <t>kg</t>
  </si>
  <si>
    <t>Département de l'économie et du territoire</t>
  </si>
  <si>
    <r>
      <t>Service cantonal de l'agriculture</t>
    </r>
    <r>
      <rPr>
        <sz val="9"/>
        <rFont val="Fujiyama-LightCondensed"/>
        <family val="1"/>
      </rPr>
      <t xml:space="preserve"> – </t>
    </r>
    <r>
      <rPr>
        <b/>
        <sz val="9"/>
        <rFont val="Fujiyama-LightCondensed"/>
        <family val="1"/>
      </rPr>
      <t>Office d’arboriculture, d’horticulture et de cultures maraîchères</t>
    </r>
  </si>
  <si>
    <t>Solution stock
1:300
g/l</t>
  </si>
  <si>
    <t>SS 1:300
kg/xxl
Solution kg/xxl</t>
  </si>
  <si>
    <r>
      <t>Solution nutritive préparée avec l'</t>
    </r>
    <r>
      <rPr>
        <u val="single"/>
        <sz val="10"/>
        <rFont val="Arial"/>
        <family val="2"/>
      </rPr>
      <t>eau du puit</t>
    </r>
  </si>
  <si>
    <t>S192</t>
  </si>
  <si>
    <t>Goutteur</t>
  </si>
  <si>
    <t>Puit</t>
  </si>
  <si>
    <t>Manque</t>
  </si>
  <si>
    <t>Accumulation</t>
  </si>
  <si>
    <t>(Analyse eau du puit du 06.07.2005)</t>
  </si>
  <si>
    <t>Fertilisation du 27.03 au 10.04.06</t>
  </si>
  <si>
    <t>S19</t>
  </si>
  <si>
    <t>Fertilisation du 17.04 au 20.05.06</t>
  </si>
  <si>
    <t>Fertilisation du 12.05.06</t>
  </si>
  <si>
    <t>Fertilisation du 29.05.06 au 8.06.06</t>
  </si>
  <si>
    <t>SOLUTION POUR PRODUCTION ELEVEE</t>
  </si>
  <si>
    <t>Pour supprimer la protection des cellules taper "solution"</t>
  </si>
  <si>
    <t>Fe EDTA 10 %</t>
  </si>
  <si>
    <t>Concentration des solutions d'oligo</t>
  </si>
  <si>
    <t>Masse molaire</t>
  </si>
  <si>
    <t>Concentration</t>
  </si>
  <si>
    <t>micro-mole/l</t>
  </si>
  <si>
    <t>Selon Pivot</t>
  </si>
  <si>
    <t>g/mole</t>
  </si>
  <si>
    <t>Fe DTPA 7.6 %</t>
  </si>
  <si>
    <r>
      <t xml:space="preserve">OESR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-mol/l</t>
    </r>
  </si>
  <si>
    <t>Solution nutritive tomate Serre ; production normale</t>
  </si>
  <si>
    <t>Solution nutritive saturation des nattes - Serre - 2007</t>
  </si>
  <si>
    <t>Correction selon l'eau du réseau</t>
  </si>
  <si>
    <t>Norme de base</t>
  </si>
  <si>
    <t>Concentration des solutions mère d'oligo-éléments</t>
  </si>
  <si>
    <t>Total des éléments apportés après correction</t>
  </si>
  <si>
    <t>Ajuster les apports pour obtenir 0% dans chaque case</t>
  </si>
  <si>
    <t>Ajuster la coor. % pour obtenir 100% dans chaque case</t>
  </si>
  <si>
    <t>Solution nutritive tomate serre: 4 à 8 premières semaines (n° 3 4/06)</t>
  </si>
  <si>
    <t>Solution nutritive tomate serre: 2 premières semaines (n°2 4/06)</t>
  </si>
  <si>
    <t>Solution nutritive tomate serre: production normale (n° 3/06)</t>
  </si>
  <si>
    <t>Solution nutritive tomate serre: production élevée (n° 4/06)</t>
  </si>
  <si>
    <t>Solution nutritive tomate serre ; production normale</t>
  </si>
  <si>
    <t>Solution nutritive tomate serre ; 4 à 8 premières semaines de culture</t>
  </si>
  <si>
    <t>Solution nutritive tomate serre ; 2 premières semaines de culture</t>
  </si>
  <si>
    <t>Sn Base</t>
  </si>
  <si>
    <t>Au goutteur</t>
  </si>
  <si>
    <t>Au drainage</t>
  </si>
  <si>
    <t>S91</t>
  </si>
  <si>
    <t>Diff. %  Apport/drainage</t>
  </si>
  <si>
    <t>ETP</t>
  </si>
  <si>
    <t>l/jour/m2</t>
  </si>
  <si>
    <t>Injection %</t>
  </si>
  <si>
    <t>Quantité approximative pour 6 mois de culture</t>
  </si>
  <si>
    <t>Tomate</t>
  </si>
  <si>
    <t>ETP serre</t>
  </si>
  <si>
    <t>mars</t>
  </si>
  <si>
    <t>avril</t>
  </si>
  <si>
    <t>mai</t>
  </si>
  <si>
    <t>juin</t>
  </si>
  <si>
    <t>Oligo- éléments</t>
  </si>
  <si>
    <t>g</t>
  </si>
  <si>
    <t>juillet</t>
  </si>
  <si>
    <t>août</t>
  </si>
  <si>
    <t>moyenne</t>
  </si>
  <si>
    <t>mm/jour</t>
  </si>
  <si>
    <t>+ Drainage</t>
  </si>
  <si>
    <t>ml</t>
  </si>
  <si>
    <t>0.15</t>
  </si>
  <si>
    <r>
      <t xml:space="preserve">Sulfate de manganèse 24.6%  </t>
    </r>
    <r>
      <rPr>
        <b/>
        <sz val="12"/>
        <rFont val="Arial"/>
        <family val="2"/>
      </rPr>
      <t>Mn</t>
    </r>
  </si>
  <si>
    <r>
      <t xml:space="preserve">Sulfate de zinc 22.7%   </t>
    </r>
    <r>
      <rPr>
        <b/>
        <sz val="12"/>
        <rFont val="Arial"/>
        <family val="2"/>
      </rPr>
      <t>Zn</t>
    </r>
  </si>
  <si>
    <r>
      <t xml:space="preserve">Acide borique 17.5%    </t>
    </r>
    <r>
      <rPr>
        <b/>
        <sz val="12"/>
        <rFont val="Arial"/>
        <family val="2"/>
      </rPr>
      <t>B</t>
    </r>
  </si>
  <si>
    <r>
      <t xml:space="preserve">Sulfate de cuivre 25% </t>
    </r>
    <r>
      <rPr>
        <b/>
        <sz val="12"/>
        <rFont val="Arial"/>
        <family val="2"/>
      </rPr>
      <t xml:space="preserve"> Cu</t>
    </r>
  </si>
  <si>
    <r>
      <t xml:space="preserve">Molybdate d'ammonium 40% </t>
    </r>
    <r>
      <rPr>
        <b/>
        <sz val="12"/>
        <rFont val="Arial"/>
        <family val="2"/>
      </rPr>
      <t>Mo</t>
    </r>
  </si>
</sst>
</file>

<file path=xl/styles.xml><?xml version="1.0" encoding="utf-8"?>
<styleSheet xmlns="http://schemas.openxmlformats.org/spreadsheetml/2006/main">
  <numFmts count="5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r&quot;;\-#,##0\ &quot;Fr&quot;"/>
    <numFmt numFmtId="173" formatCode="#,##0\ &quot;Fr&quot;;[Red]\-#,##0\ &quot;Fr&quot;"/>
    <numFmt numFmtId="174" formatCode="#,##0.00\ &quot;Fr&quot;;\-#,##0.00\ &quot;Fr&quot;"/>
    <numFmt numFmtId="175" formatCode="#,##0.00\ &quot;Fr&quot;;[Red]\-#,##0.00\ &quot;Fr&quot;"/>
    <numFmt numFmtId="176" formatCode="_-* #,##0\ &quot;Fr&quot;_-;\-* #,##0\ &quot;Fr&quot;_-;_-* &quot;-&quot;\ &quot;Fr&quot;_-;_-@_-"/>
    <numFmt numFmtId="177" formatCode="_-* #,##0\ _F_r_-;\-* #,##0\ _F_r_-;_-* &quot;-&quot;\ _F_r_-;_-@_-"/>
    <numFmt numFmtId="178" formatCode="_-* #,##0.00\ &quot;Fr&quot;_-;\-* #,##0.00\ &quot;Fr&quot;_-;_-* &quot;-&quot;??\ &quot;Fr&quot;_-;_-@_-"/>
    <numFmt numFmtId="179" formatCode="_-* #,##0.00\ _F_r_-;\-* #,##0.00\ _F_r_-;_-* &quot;-&quot;??\ _F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0.000"/>
    <numFmt numFmtId="191" formatCode="0.0000"/>
    <numFmt numFmtId="192" formatCode="0.00000"/>
    <numFmt numFmtId="193" formatCode="0.0"/>
    <numFmt numFmtId="194" formatCode="0.0000000"/>
    <numFmt numFmtId="195" formatCode="0.000000"/>
    <numFmt numFmtId="196" formatCode="#,##0.000;[Red]\-#,##0.000"/>
    <numFmt numFmtId="197" formatCode="#,##0.0;[Red]\-#,##0.0"/>
    <numFmt numFmtId="198" formatCode="0.00000000"/>
    <numFmt numFmtId="199" formatCode="&quot;Vrai&quot;;&quot;Vrai&quot;;&quot;Faux&quot;"/>
    <numFmt numFmtId="200" formatCode="&quot;Actif&quot;;&quot;Actif&quot;;&quot;Inactif&quot;"/>
    <numFmt numFmtId="201" formatCode="0.000000000"/>
    <numFmt numFmtId="202" formatCode="0.0000000000"/>
    <numFmt numFmtId="203" formatCode="[$-100C]dddd\,\ d\.\ mmmm\ yyyy"/>
    <numFmt numFmtId="204" formatCode="dd/mm/yy;@"/>
    <numFmt numFmtId="205" formatCode="0.0%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sz val="10"/>
      <color indexed="8"/>
      <name val="Symbol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14"/>
      <name val="Arial"/>
      <family val="2"/>
    </font>
    <font>
      <sz val="9"/>
      <name val="Arial"/>
      <family val="2"/>
    </font>
    <font>
      <sz val="9"/>
      <name val="Symbol"/>
      <family val="1"/>
    </font>
    <font>
      <sz val="8"/>
      <name val="Arial"/>
      <family val="2"/>
    </font>
    <font>
      <sz val="8"/>
      <name val="Symbol"/>
      <family val="1"/>
    </font>
    <font>
      <strike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56"/>
      <name val="Arial"/>
      <family val="2"/>
    </font>
    <font>
      <b/>
      <vertAlign val="subscript"/>
      <sz val="10"/>
      <color indexed="56"/>
      <name val="Arial"/>
      <family val="2"/>
    </font>
    <font>
      <b/>
      <sz val="10"/>
      <color indexed="14"/>
      <name val="Arial"/>
      <family val="0"/>
    </font>
    <font>
      <sz val="10"/>
      <color indexed="14"/>
      <name val="MS Sans Serif"/>
      <family val="0"/>
    </font>
    <font>
      <sz val="10"/>
      <color indexed="14"/>
      <name val="Symbol"/>
      <family val="1"/>
    </font>
    <font>
      <vertAlign val="superscript"/>
      <sz val="10"/>
      <color indexed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6"/>
      <name val="Arial"/>
      <family val="2"/>
    </font>
    <font>
      <sz val="9"/>
      <name val="Fujiyama-LightCondensed"/>
      <family val="1"/>
    </font>
    <font>
      <b/>
      <sz val="9"/>
      <name val="Fujiyama-LightCondensed"/>
      <family val="1"/>
    </font>
    <font>
      <sz val="9"/>
      <color indexed="10"/>
      <name val="Arial"/>
      <family val="2"/>
    </font>
    <font>
      <sz val="8.5"/>
      <name val="MS Sans Serif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5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48" fillId="7" borderId="1" applyNumberFormat="0" applyAlignment="0" applyProtection="0"/>
    <xf numFmtId="0" fontId="49" fillId="16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1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17" borderId="9" applyNumberFormat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/>
      <protection locked="0"/>
    </xf>
    <xf numFmtId="0" fontId="27" fillId="0" borderId="0" xfId="0" applyFont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90" fontId="6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1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11" fillId="19" borderId="10" xfId="0" applyFont="1" applyFill="1" applyBorder="1" applyAlignment="1">
      <alignment/>
    </xf>
    <xf numFmtId="0" fontId="4" fillId="19" borderId="11" xfId="0" applyFont="1" applyFill="1" applyBorder="1" applyAlignment="1">
      <alignment/>
    </xf>
    <xf numFmtId="0" fontId="4" fillId="19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11" fillId="16" borderId="10" xfId="0" applyFont="1" applyFill="1" applyBorder="1" applyAlignment="1" applyProtection="1">
      <alignment/>
      <protection locked="0"/>
    </xf>
    <xf numFmtId="0" fontId="4" fillId="16" borderId="11" xfId="0" applyFont="1" applyFill="1" applyBorder="1" applyAlignment="1">
      <alignment/>
    </xf>
    <xf numFmtId="0" fontId="4" fillId="16" borderId="14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6" fillId="20" borderId="10" xfId="0" applyFont="1" applyFill="1" applyBorder="1" applyAlignment="1">
      <alignment/>
    </xf>
    <xf numFmtId="0" fontId="15" fillId="20" borderId="11" xfId="0" applyFont="1" applyFill="1" applyBorder="1" applyAlignment="1">
      <alignment/>
    </xf>
    <xf numFmtId="0" fontId="15" fillId="20" borderId="14" xfId="0" applyFont="1" applyFill="1" applyBorder="1" applyAlignment="1">
      <alignment/>
    </xf>
    <xf numFmtId="2" fontId="4" fillId="0" borderId="1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2" fontId="4" fillId="0" borderId="22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4" fillId="0" borderId="23" xfId="0" applyFont="1" applyBorder="1" applyAlignment="1">
      <alignment horizontal="left"/>
    </xf>
    <xf numFmtId="2" fontId="4" fillId="0" borderId="24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2" fontId="4" fillId="0" borderId="26" xfId="0" applyNumberFormat="1" applyFont="1" applyBorder="1" applyAlignment="1" applyProtection="1">
      <alignment horizontal="center"/>
      <protection locked="0"/>
    </xf>
    <xf numFmtId="2" fontId="11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2" fontId="4" fillId="0" borderId="16" xfId="0" applyNumberFormat="1" applyFont="1" applyBorder="1" applyAlignment="1" applyProtection="1">
      <alignment horizontal="center"/>
      <protection locked="0"/>
    </xf>
    <xf numFmtId="2" fontId="4" fillId="0" borderId="28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/>
      <protection locked="0"/>
    </xf>
    <xf numFmtId="0" fontId="14" fillId="0" borderId="12" xfId="0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193" fontId="4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90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190" fontId="4" fillId="0" borderId="16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30" fillId="7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/>
    </xf>
    <xf numFmtId="193" fontId="11" fillId="0" borderId="31" xfId="0" applyNumberFormat="1" applyFont="1" applyBorder="1" applyAlignment="1">
      <alignment horizontal="center"/>
    </xf>
    <xf numFmtId="193" fontId="11" fillId="0" borderId="32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3" xfId="0" applyFont="1" applyBorder="1" applyAlignment="1">
      <alignment/>
    </xf>
    <xf numFmtId="193" fontId="11" fillId="0" borderId="12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33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/>
      <protection/>
    </xf>
    <xf numFmtId="2" fontId="4" fillId="0" borderId="38" xfId="0" applyNumberFormat="1" applyFont="1" applyFill="1" applyBorder="1" applyAlignment="1">
      <alignment horizontal="center"/>
    </xf>
    <xf numFmtId="2" fontId="4" fillId="18" borderId="0" xfId="0" applyNumberFormat="1" applyFont="1" applyFill="1" applyBorder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2" fontId="4" fillId="18" borderId="16" xfId="0" applyNumberFormat="1" applyFont="1" applyFill="1" applyBorder="1" applyAlignment="1" applyProtection="1">
      <alignment horizontal="center"/>
      <protection locked="0"/>
    </xf>
    <xf numFmtId="0" fontId="4" fillId="21" borderId="0" xfId="0" applyFont="1" applyFill="1" applyBorder="1" applyAlignment="1">
      <alignment horizontal="center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4" fillId="21" borderId="0" xfId="0" applyFont="1" applyFill="1" applyBorder="1" applyAlignment="1">
      <alignment/>
    </xf>
    <xf numFmtId="0" fontId="4" fillId="21" borderId="13" xfId="0" applyFont="1" applyFill="1" applyBorder="1" applyAlignment="1">
      <alignment/>
    </xf>
    <xf numFmtId="1" fontId="4" fillId="0" borderId="31" xfId="0" applyNumberFormat="1" applyFont="1" applyBorder="1" applyAlignment="1">
      <alignment horizontal="center"/>
    </xf>
    <xf numFmtId="49" fontId="4" fillId="0" borderId="16" xfId="0" applyNumberFormat="1" applyFont="1" applyBorder="1" applyAlignment="1" applyProtection="1">
      <alignment horizontal="center"/>
      <protection locked="0"/>
    </xf>
    <xf numFmtId="193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190" fontId="6" fillId="18" borderId="0" xfId="0" applyNumberFormat="1" applyFont="1" applyFill="1" applyBorder="1" applyAlignment="1">
      <alignment horizontal="center"/>
    </xf>
    <xf numFmtId="190" fontId="22" fillId="18" borderId="0" xfId="0" applyNumberFormat="1" applyFont="1" applyFill="1" applyBorder="1" applyAlignment="1">
      <alignment horizontal="center"/>
    </xf>
    <xf numFmtId="190" fontId="6" fillId="18" borderId="16" xfId="0" applyNumberFormat="1" applyFont="1" applyFill="1" applyBorder="1" applyAlignment="1">
      <alignment horizontal="center"/>
    </xf>
    <xf numFmtId="190" fontId="6" fillId="0" borderId="13" xfId="0" applyNumberFormat="1" applyFont="1" applyBorder="1" applyAlignment="1">
      <alignment horizontal="center"/>
    </xf>
    <xf numFmtId="190" fontId="6" fillId="0" borderId="17" xfId="0" applyNumberFormat="1" applyFont="1" applyBorder="1" applyAlignment="1">
      <alignment horizontal="center"/>
    </xf>
    <xf numFmtId="0" fontId="15" fillId="18" borderId="0" xfId="0" applyFont="1" applyFill="1" applyBorder="1" applyAlignment="1" applyProtection="1">
      <alignment horizontal="center"/>
      <protection locked="0"/>
    </xf>
    <xf numFmtId="40" fontId="4" fillId="0" borderId="0" xfId="45" applyFont="1" applyAlignment="1">
      <alignment/>
    </xf>
    <xf numFmtId="197" fontId="4" fillId="0" borderId="0" xfId="45" applyNumberFormat="1" applyFont="1" applyAlignment="1">
      <alignment/>
    </xf>
    <xf numFmtId="193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Alignment="1">
      <alignment horizontal="justify"/>
    </xf>
    <xf numFmtId="49" fontId="4" fillId="0" borderId="16" xfId="0" applyNumberFormat="1" applyFont="1" applyBorder="1" applyAlignment="1">
      <alignment horizontal="center"/>
    </xf>
    <xf numFmtId="190" fontId="11" fillId="0" borderId="19" xfId="0" applyNumberFormat="1" applyFont="1" applyBorder="1" applyAlignment="1">
      <alignment horizontal="center"/>
    </xf>
    <xf numFmtId="0" fontId="35" fillId="0" borderId="39" xfId="0" applyFont="1" applyBorder="1" applyAlignment="1">
      <alignment/>
    </xf>
    <xf numFmtId="2" fontId="4" fillId="0" borderId="40" xfId="0" applyNumberFormat="1" applyFont="1" applyBorder="1" applyAlignment="1">
      <alignment horizontal="center"/>
    </xf>
    <xf numFmtId="193" fontId="4" fillId="0" borderId="40" xfId="0" applyNumberFormat="1" applyFont="1" applyBorder="1" applyAlignment="1">
      <alignment horizontal="center"/>
    </xf>
    <xf numFmtId="0" fontId="35" fillId="0" borderId="12" xfId="0" applyFont="1" applyBorder="1" applyAlignment="1">
      <alignment/>
    </xf>
    <xf numFmtId="190" fontId="30" fillId="0" borderId="31" xfId="0" applyNumberFormat="1" applyFont="1" applyBorder="1" applyAlignment="1">
      <alignment horizontal="center"/>
    </xf>
    <xf numFmtId="190" fontId="30" fillId="0" borderId="32" xfId="0" applyNumberFormat="1" applyFont="1" applyBorder="1" applyAlignment="1">
      <alignment horizontal="center"/>
    </xf>
    <xf numFmtId="0" fontId="35" fillId="0" borderId="15" xfId="0" applyFont="1" applyBorder="1" applyAlignment="1">
      <alignment/>
    </xf>
    <xf numFmtId="190" fontId="30" fillId="0" borderId="33" xfId="0" applyNumberFormat="1" applyFont="1" applyBorder="1" applyAlignment="1">
      <alignment horizontal="center"/>
    </xf>
    <xf numFmtId="190" fontId="30" fillId="0" borderId="34" xfId="0" applyNumberFormat="1" applyFont="1" applyBorder="1" applyAlignment="1">
      <alignment horizontal="center"/>
    </xf>
    <xf numFmtId="193" fontId="11" fillId="0" borderId="34" xfId="0" applyNumberFormat="1" applyFont="1" applyBorder="1" applyAlignment="1">
      <alignment horizontal="center"/>
    </xf>
    <xf numFmtId="0" fontId="38" fillId="0" borderId="0" xfId="0" applyFont="1" applyAlignment="1">
      <alignment horizontal="right" indent="1"/>
    </xf>
    <xf numFmtId="0" fontId="39" fillId="0" borderId="0" xfId="0" applyFont="1" applyAlignment="1">
      <alignment horizontal="right" indent="1"/>
    </xf>
    <xf numFmtId="14" fontId="4" fillId="0" borderId="11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1" fillId="0" borderId="0" xfId="0" applyFont="1" applyAlignment="1" applyProtection="1">
      <alignment horizontal="right"/>
      <protection/>
    </xf>
    <xf numFmtId="14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2" fontId="11" fillId="21" borderId="16" xfId="0" applyNumberFormat="1" applyFont="1" applyFill="1" applyBorder="1" applyAlignment="1">
      <alignment horizontal="center"/>
    </xf>
    <xf numFmtId="2" fontId="11" fillId="21" borderId="17" xfId="0" applyNumberFormat="1" applyFont="1" applyFill="1" applyBorder="1" applyAlignment="1">
      <alignment horizontal="center"/>
    </xf>
    <xf numFmtId="2" fontId="11" fillId="21" borderId="0" xfId="0" applyNumberFormat="1" applyFont="1" applyFill="1" applyBorder="1" applyAlignment="1">
      <alignment horizontal="center"/>
    </xf>
    <xf numFmtId="2" fontId="4" fillId="0" borderId="0" xfId="0" applyNumberFormat="1" applyFont="1" applyAlignment="1" applyProtection="1">
      <alignment/>
      <protection locked="0"/>
    </xf>
    <xf numFmtId="0" fontId="11" fillId="0" borderId="41" xfId="50" applyFont="1" applyBorder="1" applyAlignment="1">
      <alignment horizontal="left"/>
      <protection/>
    </xf>
    <xf numFmtId="2" fontId="4" fillId="0" borderId="24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/>
      <protection locked="0"/>
    </xf>
    <xf numFmtId="0" fontId="4" fillId="2" borderId="13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30" fillId="18" borderId="0" xfId="0" applyFont="1" applyFill="1" applyAlignment="1">
      <alignment horizontal="center"/>
    </xf>
    <xf numFmtId="0" fontId="35" fillId="18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93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19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193" fontId="3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41" xfId="50" applyFont="1" applyBorder="1" applyAlignment="1">
      <alignment horizontal="center"/>
      <protection/>
    </xf>
    <xf numFmtId="0" fontId="4" fillId="0" borderId="41" xfId="50" applyFont="1" applyBorder="1">
      <alignment/>
      <protection/>
    </xf>
    <xf numFmtId="0" fontId="4" fillId="7" borderId="12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2" fontId="4" fillId="7" borderId="16" xfId="0" applyNumberFormat="1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190" fontId="6" fillId="7" borderId="0" xfId="0" applyNumberFormat="1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2" fontId="24" fillId="7" borderId="0" xfId="0" applyNumberFormat="1" applyFont="1" applyFill="1" applyBorder="1" applyAlignment="1">
      <alignment horizontal="center"/>
    </xf>
    <xf numFmtId="2" fontId="24" fillId="7" borderId="13" xfId="0" applyNumberFormat="1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190" fontId="22" fillId="7" borderId="0" xfId="0" applyNumberFormat="1" applyFont="1" applyFill="1" applyBorder="1" applyAlignment="1">
      <alignment horizontal="center"/>
    </xf>
    <xf numFmtId="2" fontId="22" fillId="7" borderId="13" xfId="0" applyNumberFormat="1" applyFont="1" applyFill="1" applyBorder="1" applyAlignment="1">
      <alignment horizontal="center"/>
    </xf>
    <xf numFmtId="2" fontId="22" fillId="7" borderId="0" xfId="0" applyNumberFormat="1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2" fontId="22" fillId="7" borderId="16" xfId="0" applyNumberFormat="1" applyFont="1" applyFill="1" applyBorder="1" applyAlignment="1">
      <alignment horizontal="center"/>
    </xf>
    <xf numFmtId="2" fontId="22" fillId="7" borderId="17" xfId="0" applyNumberFormat="1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2" fontId="4" fillId="7" borderId="17" xfId="0" applyNumberFormat="1" applyFont="1" applyFill="1" applyBorder="1" applyAlignment="1">
      <alignment horizontal="center"/>
    </xf>
    <xf numFmtId="0" fontId="42" fillId="22" borderId="10" xfId="0" applyFont="1" applyFill="1" applyBorder="1" applyAlignment="1">
      <alignment/>
    </xf>
    <xf numFmtId="0" fontId="43" fillId="22" borderId="11" xfId="0" applyFont="1" applyFill="1" applyBorder="1" applyAlignment="1">
      <alignment/>
    </xf>
    <xf numFmtId="0" fontId="43" fillId="22" borderId="14" xfId="0" applyFont="1" applyFill="1" applyBorder="1" applyAlignment="1">
      <alignment/>
    </xf>
    <xf numFmtId="0" fontId="4" fillId="23" borderId="12" xfId="0" applyFont="1" applyFill="1" applyBorder="1" applyAlignment="1">
      <alignment/>
    </xf>
    <xf numFmtId="0" fontId="4" fillId="23" borderId="0" xfId="0" applyFont="1" applyFill="1" applyBorder="1" applyAlignment="1">
      <alignment horizontal="center"/>
    </xf>
    <xf numFmtId="0" fontId="4" fillId="23" borderId="13" xfId="0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/>
    </xf>
    <xf numFmtId="0" fontId="6" fillId="23" borderId="13" xfId="0" applyFont="1" applyFill="1" applyBorder="1" applyAlignment="1">
      <alignment/>
    </xf>
    <xf numFmtId="0" fontId="4" fillId="23" borderId="15" xfId="0" applyFont="1" applyFill="1" applyBorder="1" applyAlignment="1">
      <alignment horizontal="center"/>
    </xf>
    <xf numFmtId="0" fontId="4" fillId="23" borderId="16" xfId="0" applyFont="1" applyFill="1" applyBorder="1" applyAlignment="1">
      <alignment horizontal="center"/>
    </xf>
    <xf numFmtId="2" fontId="4" fillId="23" borderId="16" xfId="0" applyNumberFormat="1" applyFont="1" applyFill="1" applyBorder="1" applyAlignment="1">
      <alignment horizontal="center"/>
    </xf>
    <xf numFmtId="0" fontId="6" fillId="23" borderId="16" xfId="0" applyFont="1" applyFill="1" applyBorder="1" applyAlignment="1">
      <alignment horizontal="center"/>
    </xf>
    <xf numFmtId="0" fontId="4" fillId="23" borderId="16" xfId="0" applyFont="1" applyFill="1" applyBorder="1" applyAlignment="1">
      <alignment/>
    </xf>
    <xf numFmtId="0" fontId="6" fillId="23" borderId="17" xfId="0" applyFont="1" applyFill="1" applyBorder="1" applyAlignment="1">
      <alignment/>
    </xf>
    <xf numFmtId="0" fontId="4" fillId="23" borderId="10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6" fillId="23" borderId="14" xfId="0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/>
    </xf>
    <xf numFmtId="0" fontId="22" fillId="23" borderId="12" xfId="0" applyFont="1" applyFill="1" applyBorder="1" applyAlignment="1">
      <alignment horizontal="center"/>
    </xf>
    <xf numFmtId="2" fontId="22" fillId="23" borderId="0" xfId="0" applyNumberFormat="1" applyFont="1" applyFill="1" applyBorder="1" applyAlignment="1">
      <alignment horizontal="center"/>
    </xf>
    <xf numFmtId="2" fontId="22" fillId="23" borderId="13" xfId="0" applyNumberFormat="1" applyFont="1" applyFill="1" applyBorder="1" applyAlignment="1">
      <alignment horizontal="center"/>
    </xf>
    <xf numFmtId="190" fontId="6" fillId="23" borderId="0" xfId="0" applyNumberFormat="1" applyFont="1" applyFill="1" applyBorder="1" applyAlignment="1">
      <alignment horizontal="center"/>
    </xf>
    <xf numFmtId="2" fontId="6" fillId="23" borderId="13" xfId="0" applyNumberFormat="1" applyFont="1" applyFill="1" applyBorder="1" applyAlignment="1">
      <alignment horizontal="center"/>
    </xf>
    <xf numFmtId="2" fontId="4" fillId="23" borderId="0" xfId="0" applyNumberFormat="1" applyFont="1" applyFill="1" applyBorder="1" applyAlignment="1">
      <alignment horizontal="center"/>
    </xf>
    <xf numFmtId="0" fontId="42" fillId="23" borderId="12" xfId="0" applyFont="1" applyFill="1" applyBorder="1" applyAlignment="1">
      <alignment horizontal="center"/>
    </xf>
    <xf numFmtId="2" fontId="42" fillId="23" borderId="0" xfId="0" applyNumberFormat="1" applyFont="1" applyFill="1" applyBorder="1" applyAlignment="1">
      <alignment horizontal="center"/>
    </xf>
    <xf numFmtId="2" fontId="42" fillId="23" borderId="13" xfId="0" applyNumberFormat="1" applyFont="1" applyFill="1" applyBorder="1" applyAlignment="1">
      <alignment horizontal="center"/>
    </xf>
    <xf numFmtId="0" fontId="22" fillId="23" borderId="15" xfId="0" applyFont="1" applyFill="1" applyBorder="1" applyAlignment="1">
      <alignment horizontal="center"/>
    </xf>
    <xf numFmtId="2" fontId="22" fillId="23" borderId="16" xfId="0" applyNumberFormat="1" applyFont="1" applyFill="1" applyBorder="1" applyAlignment="1">
      <alignment horizontal="center"/>
    </xf>
    <xf numFmtId="2" fontId="22" fillId="23" borderId="17" xfId="0" applyNumberFormat="1" applyFont="1" applyFill="1" applyBorder="1" applyAlignment="1">
      <alignment horizontal="center"/>
    </xf>
    <xf numFmtId="0" fontId="4" fillId="23" borderId="15" xfId="0" applyFont="1" applyFill="1" applyBorder="1" applyAlignment="1">
      <alignment/>
    </xf>
    <xf numFmtId="2" fontId="4" fillId="23" borderId="17" xfId="0" applyNumberFormat="1" applyFont="1" applyFill="1" applyBorder="1" applyAlignment="1">
      <alignment horizontal="center"/>
    </xf>
    <xf numFmtId="0" fontId="4" fillId="21" borderId="12" xfId="0" applyFont="1" applyFill="1" applyBorder="1" applyAlignment="1">
      <alignment/>
    </xf>
    <xf numFmtId="0" fontId="4" fillId="21" borderId="13" xfId="0" applyFont="1" applyFill="1" applyBorder="1" applyAlignment="1">
      <alignment horizontal="center"/>
    </xf>
    <xf numFmtId="0" fontId="4" fillId="21" borderId="12" xfId="0" applyFont="1" applyFill="1" applyBorder="1" applyAlignment="1">
      <alignment horizontal="center"/>
    </xf>
    <xf numFmtId="0" fontId="6" fillId="21" borderId="0" xfId="0" applyFont="1" applyFill="1" applyBorder="1" applyAlignment="1">
      <alignment horizontal="center"/>
    </xf>
    <xf numFmtId="0" fontId="6" fillId="21" borderId="13" xfId="0" applyFont="1" applyFill="1" applyBorder="1" applyAlignment="1">
      <alignment/>
    </xf>
    <xf numFmtId="0" fontId="4" fillId="21" borderId="15" xfId="0" applyFont="1" applyFill="1" applyBorder="1" applyAlignment="1">
      <alignment horizontal="center"/>
    </xf>
    <xf numFmtId="0" fontId="4" fillId="21" borderId="16" xfId="0" applyFont="1" applyFill="1" applyBorder="1" applyAlignment="1">
      <alignment horizontal="center"/>
    </xf>
    <xf numFmtId="2" fontId="4" fillId="21" borderId="16" xfId="0" applyNumberFormat="1" applyFont="1" applyFill="1" applyBorder="1" applyAlignment="1">
      <alignment horizontal="center"/>
    </xf>
    <xf numFmtId="0" fontId="6" fillId="21" borderId="16" xfId="0" applyFont="1" applyFill="1" applyBorder="1" applyAlignment="1">
      <alignment horizontal="center"/>
    </xf>
    <xf numFmtId="0" fontId="4" fillId="21" borderId="16" xfId="0" applyFont="1" applyFill="1" applyBorder="1" applyAlignment="1">
      <alignment/>
    </xf>
    <xf numFmtId="0" fontId="6" fillId="21" borderId="17" xfId="0" applyFont="1" applyFill="1" applyBorder="1" applyAlignment="1">
      <alignment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0" fontId="6" fillId="21" borderId="14" xfId="0" applyFont="1" applyFill="1" applyBorder="1" applyAlignment="1">
      <alignment horizontal="center"/>
    </xf>
    <xf numFmtId="0" fontId="8" fillId="21" borderId="14" xfId="0" applyFont="1" applyFill="1" applyBorder="1" applyAlignment="1">
      <alignment horizontal="center"/>
    </xf>
    <xf numFmtId="2" fontId="4" fillId="21" borderId="0" xfId="0" applyNumberFormat="1" applyFont="1" applyFill="1" applyBorder="1" applyAlignment="1">
      <alignment horizontal="center"/>
    </xf>
    <xf numFmtId="2" fontId="6" fillId="21" borderId="13" xfId="0" applyNumberFormat="1" applyFont="1" applyFill="1" applyBorder="1" applyAlignment="1">
      <alignment horizontal="center"/>
    </xf>
    <xf numFmtId="190" fontId="6" fillId="21" borderId="0" xfId="0" applyNumberFormat="1" applyFont="1" applyFill="1" applyBorder="1" applyAlignment="1">
      <alignment horizontal="center"/>
    </xf>
    <xf numFmtId="0" fontId="22" fillId="21" borderId="12" xfId="0" applyFont="1" applyFill="1" applyBorder="1" applyAlignment="1">
      <alignment horizontal="center"/>
    </xf>
    <xf numFmtId="2" fontId="22" fillId="21" borderId="0" xfId="0" applyNumberFormat="1" applyFont="1" applyFill="1" applyBorder="1" applyAlignment="1">
      <alignment horizontal="center"/>
    </xf>
    <xf numFmtId="2" fontId="22" fillId="21" borderId="13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2" fontId="24" fillId="21" borderId="0" xfId="0" applyNumberFormat="1" applyFont="1" applyFill="1" applyBorder="1" applyAlignment="1">
      <alignment horizontal="center"/>
    </xf>
    <xf numFmtId="2" fontId="24" fillId="21" borderId="13" xfId="0" applyNumberFormat="1" applyFont="1" applyFill="1" applyBorder="1" applyAlignment="1">
      <alignment horizontal="center"/>
    </xf>
    <xf numFmtId="2" fontId="6" fillId="21" borderId="17" xfId="0" applyNumberFormat="1" applyFont="1" applyFill="1" applyBorder="1" applyAlignment="1">
      <alignment horizontal="center"/>
    </xf>
    <xf numFmtId="0" fontId="4" fillId="21" borderId="15" xfId="0" applyFont="1" applyFill="1" applyBorder="1" applyAlignment="1">
      <alignment/>
    </xf>
    <xf numFmtId="2" fontId="4" fillId="21" borderId="17" xfId="0" applyNumberFormat="1" applyFont="1" applyFill="1" applyBorder="1" applyAlignment="1">
      <alignment horizontal="center"/>
    </xf>
    <xf numFmtId="0" fontId="11" fillId="13" borderId="10" xfId="0" applyFont="1" applyFill="1" applyBorder="1" applyAlignment="1" applyProtection="1">
      <alignment/>
      <protection locked="0"/>
    </xf>
    <xf numFmtId="0" fontId="4" fillId="13" borderId="11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13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/>
    </xf>
    <xf numFmtId="190" fontId="6" fillId="24" borderId="0" xfId="0" applyNumberFormat="1" applyFont="1" applyFill="1" applyBorder="1" applyAlignment="1">
      <alignment horizontal="center"/>
    </xf>
    <xf numFmtId="2" fontId="6" fillId="24" borderId="17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2" fontId="4" fillId="24" borderId="17" xfId="0" applyNumberFormat="1" applyFont="1" applyFill="1" applyBorder="1" applyAlignment="1">
      <alignment horizontal="center"/>
    </xf>
    <xf numFmtId="0" fontId="4" fillId="16" borderId="12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4" fillId="16" borderId="13" xfId="0" applyFont="1" applyFill="1" applyBorder="1" applyAlignment="1">
      <alignment/>
    </xf>
    <xf numFmtId="0" fontId="4" fillId="16" borderId="12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4" fillId="16" borderId="15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2" fontId="4" fillId="16" borderId="16" xfId="0" applyNumberFormat="1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4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4" fillId="16" borderId="17" xfId="0" applyFont="1" applyFill="1" applyBorder="1" applyAlignment="1">
      <alignment/>
    </xf>
    <xf numFmtId="0" fontId="6" fillId="16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 horizontal="center"/>
    </xf>
    <xf numFmtId="0" fontId="22" fillId="16" borderId="12" xfId="0" applyFont="1" applyFill="1" applyBorder="1" applyAlignment="1">
      <alignment horizontal="center"/>
    </xf>
    <xf numFmtId="2" fontId="22" fillId="16" borderId="0" xfId="0" applyNumberFormat="1" applyFont="1" applyFill="1" applyBorder="1" applyAlignment="1">
      <alignment horizontal="center"/>
    </xf>
    <xf numFmtId="2" fontId="22" fillId="16" borderId="13" xfId="0" applyNumberFormat="1" applyFont="1" applyFill="1" applyBorder="1" applyAlignment="1">
      <alignment horizontal="center"/>
    </xf>
    <xf numFmtId="190" fontId="6" fillId="16" borderId="0" xfId="0" applyNumberFormat="1" applyFont="1" applyFill="1" applyBorder="1" applyAlignment="1">
      <alignment horizontal="center"/>
    </xf>
    <xf numFmtId="2" fontId="6" fillId="16" borderId="13" xfId="0" applyNumberFormat="1" applyFont="1" applyFill="1" applyBorder="1" applyAlignment="1">
      <alignment horizontal="center"/>
    </xf>
    <xf numFmtId="2" fontId="4" fillId="16" borderId="0" xfId="0" applyNumberFormat="1" applyFont="1" applyFill="1" applyBorder="1" applyAlignment="1">
      <alignment horizontal="center"/>
    </xf>
    <xf numFmtId="2" fontId="6" fillId="16" borderId="17" xfId="0" applyNumberFormat="1" applyFont="1" applyFill="1" applyBorder="1" applyAlignment="1">
      <alignment horizontal="center"/>
    </xf>
    <xf numFmtId="0" fontId="4" fillId="16" borderId="15" xfId="0" applyFont="1" applyFill="1" applyBorder="1" applyAlignment="1">
      <alignment/>
    </xf>
    <xf numFmtId="2" fontId="4" fillId="16" borderId="17" xfId="0" applyNumberFormat="1" applyFont="1" applyFill="1" applyBorder="1" applyAlignment="1">
      <alignment horizontal="center"/>
    </xf>
    <xf numFmtId="0" fontId="15" fillId="5" borderId="12" xfId="0" applyFont="1" applyFill="1" applyBorder="1" applyAlignment="1">
      <alignment/>
    </xf>
    <xf numFmtId="0" fontId="15" fillId="5" borderId="0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/>
    </xf>
    <xf numFmtId="0" fontId="15" fillId="5" borderId="13" xfId="0" applyFont="1" applyFill="1" applyBorder="1" applyAlignment="1">
      <alignment/>
    </xf>
    <xf numFmtId="0" fontId="15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2" fontId="15" fillId="5" borderId="16" xfId="0" applyNumberFormat="1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/>
    </xf>
    <xf numFmtId="0" fontId="15" fillId="5" borderId="17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190" fontId="4" fillId="5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5" borderId="15" xfId="0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2" fontId="4" fillId="5" borderId="17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/>
    </xf>
    <xf numFmtId="0" fontId="4" fillId="5" borderId="16" xfId="0" applyFont="1" applyFill="1" applyBorder="1" applyAlignment="1">
      <alignment/>
    </xf>
    <xf numFmtId="0" fontId="0" fillId="0" borderId="0" xfId="0" applyFont="1" applyAlignment="1">
      <alignment/>
    </xf>
    <xf numFmtId="2" fontId="11" fillId="21" borderId="22" xfId="0" applyNumberFormat="1" applyFont="1" applyFill="1" applyBorder="1" applyAlignment="1">
      <alignment horizontal="center"/>
    </xf>
    <xf numFmtId="2" fontId="4" fillId="21" borderId="24" xfId="0" applyNumberFormat="1" applyFont="1" applyFill="1" applyBorder="1" applyAlignment="1">
      <alignment horizontal="center"/>
    </xf>
    <xf numFmtId="2" fontId="4" fillId="21" borderId="4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2" xfId="51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1" fillId="0" borderId="11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7" borderId="18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4" fillId="18" borderId="0" xfId="0" applyFont="1" applyFill="1" applyAlignment="1">
      <alignment horizontal="center"/>
    </xf>
    <xf numFmtId="0" fontId="11" fillId="0" borderId="43" xfId="0" applyFont="1" applyBorder="1" applyAlignment="1" applyProtection="1">
      <alignment/>
      <protection locked="0"/>
    </xf>
    <xf numFmtId="0" fontId="4" fillId="0" borderId="4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1" xfId="0" applyFont="1" applyBorder="1" applyAlignment="1">
      <alignment/>
    </xf>
    <xf numFmtId="2" fontId="4" fillId="0" borderId="0" xfId="0" applyNumberFormat="1" applyFont="1" applyBorder="1" applyAlignment="1">
      <alignment horizontal="right" indent="1"/>
    </xf>
    <xf numFmtId="193" fontId="4" fillId="0" borderId="12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right" indent="2"/>
    </xf>
    <xf numFmtId="0" fontId="11" fillId="0" borderId="0" xfId="0" applyFont="1" applyBorder="1" applyAlignment="1">
      <alignment horizontal="right" indent="1"/>
    </xf>
    <xf numFmtId="0" fontId="35" fillId="0" borderId="12" xfId="0" applyFont="1" applyBorder="1" applyAlignment="1">
      <alignment horizontal="right"/>
    </xf>
    <xf numFmtId="190" fontId="4" fillId="0" borderId="0" xfId="0" applyNumberFormat="1" applyFont="1" applyBorder="1" applyAlignment="1">
      <alignment horizontal="right" indent="1"/>
    </xf>
    <xf numFmtId="190" fontId="11" fillId="0" borderId="31" xfId="0" applyNumberFormat="1" applyFont="1" applyBorder="1" applyAlignment="1">
      <alignment horizontal="right" indent="2"/>
    </xf>
    <xf numFmtId="0" fontId="35" fillId="0" borderId="15" xfId="0" applyFont="1" applyBorder="1" applyAlignment="1">
      <alignment horizontal="right"/>
    </xf>
    <xf numFmtId="193" fontId="4" fillId="0" borderId="16" xfId="0" applyNumberFormat="1" applyFont="1" applyBorder="1" applyAlignment="1">
      <alignment horizontal="center"/>
    </xf>
    <xf numFmtId="193" fontId="4" fillId="0" borderId="15" xfId="0" applyNumberFormat="1" applyFont="1" applyBorder="1" applyAlignment="1">
      <alignment horizontal="center"/>
    </xf>
    <xf numFmtId="190" fontId="11" fillId="0" borderId="32" xfId="0" applyNumberFormat="1" applyFont="1" applyBorder="1" applyAlignment="1">
      <alignment horizontal="right" indent="2"/>
    </xf>
    <xf numFmtId="0" fontId="11" fillId="0" borderId="0" xfId="0" applyFont="1" applyBorder="1" applyAlignment="1">
      <alignment horizontal="right" indent="2"/>
    </xf>
    <xf numFmtId="193" fontId="4" fillId="0" borderId="24" xfId="0" applyNumberFormat="1" applyFont="1" applyBorder="1" applyAlignment="1">
      <alignment/>
    </xf>
    <xf numFmtId="0" fontId="4" fillId="0" borderId="11" xfId="0" applyFont="1" applyBorder="1" applyAlignment="1">
      <alignment horizontal="right" indent="1"/>
    </xf>
    <xf numFmtId="1" fontId="11" fillId="0" borderId="33" xfId="0" applyNumberFormat="1" applyFont="1" applyBorder="1" applyAlignment="1">
      <alignment horizontal="right" indent="2"/>
    </xf>
    <xf numFmtId="0" fontId="4" fillId="0" borderId="0" xfId="0" applyFont="1" applyAlignment="1" quotePrefix="1">
      <alignment/>
    </xf>
    <xf numFmtId="9" fontId="4" fillId="0" borderId="0" xfId="0" applyNumberFormat="1" applyFont="1" applyAlignment="1" quotePrefix="1">
      <alignment/>
    </xf>
    <xf numFmtId="1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indent="1"/>
    </xf>
    <xf numFmtId="190" fontId="4" fillId="0" borderId="16" xfId="0" applyNumberFormat="1" applyFont="1" applyBorder="1" applyAlignment="1">
      <alignment horizontal="right" indent="1"/>
    </xf>
    <xf numFmtId="1" fontId="4" fillId="0" borderId="15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right" indent="2"/>
    </xf>
    <xf numFmtId="193" fontId="4" fillId="0" borderId="1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H1Tomate_SMod_05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ution_nutritive_OEen_gramme_exercice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libres recy"/>
      <sheetName val="Fertnat PalmecoMix"/>
      <sheetName val="Saturnat PalmecoMix"/>
      <sheetName val="Sol nut 2 sem"/>
      <sheetName val="Fert 2sem"/>
      <sheetName val="SR2sem"/>
      <sheetName val="Sol nut 4-8 sem"/>
      <sheetName val="Fert 4-8sem"/>
      <sheetName val="SR4-8sem"/>
      <sheetName val="Sol nut norm"/>
      <sheetName val="Fert prod norm"/>
      <sheetName val="SR prod norm"/>
      <sheetName val="OESR"/>
      <sheetName val="Quantité d'engr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selection activeCell="L25" sqref="L25"/>
    </sheetView>
  </sheetViews>
  <sheetFormatPr defaultColWidth="11.421875" defaultRowHeight="12.75"/>
  <sheetData>
    <row r="1" spans="1:10" ht="12.75">
      <c r="A1" s="49" t="s">
        <v>89</v>
      </c>
      <c r="B1" s="50"/>
      <c r="C1" s="50"/>
      <c r="D1" s="50"/>
      <c r="E1" s="50"/>
      <c r="F1" s="50"/>
      <c r="G1" s="51"/>
      <c r="H1" s="1"/>
      <c r="I1" s="1"/>
      <c r="J1" s="1"/>
    </row>
    <row r="2" spans="1:10" ht="12.75">
      <c r="A2" s="236"/>
      <c r="B2" s="237" t="s">
        <v>0</v>
      </c>
      <c r="C2" s="237" t="s">
        <v>0</v>
      </c>
      <c r="D2" s="237" t="s">
        <v>0</v>
      </c>
      <c r="E2" s="237" t="s">
        <v>0</v>
      </c>
      <c r="F2" s="237" t="s">
        <v>0</v>
      </c>
      <c r="G2" s="238" t="s">
        <v>0</v>
      </c>
      <c r="H2" s="1"/>
      <c r="I2" s="1"/>
      <c r="J2" s="1"/>
    </row>
    <row r="3" spans="1:12" ht="12.75">
      <c r="A3" s="239" t="s">
        <v>1</v>
      </c>
      <c r="B3" s="237">
        <v>5.5</v>
      </c>
      <c r="C3" s="237"/>
      <c r="D3" s="240"/>
      <c r="E3" s="241"/>
      <c r="F3" s="241"/>
      <c r="G3" s="242"/>
      <c r="H3" s="1"/>
      <c r="I3" s="1"/>
      <c r="J3" s="1"/>
      <c r="L3" t="s">
        <v>125</v>
      </c>
    </row>
    <row r="4" spans="1:10" ht="15" thickBot="1">
      <c r="A4" s="243" t="s">
        <v>2</v>
      </c>
      <c r="B4" s="244">
        <v>1.7</v>
      </c>
      <c r="C4" s="245"/>
      <c r="D4" s="246"/>
      <c r="E4" s="247"/>
      <c r="F4" s="247"/>
      <c r="G4" s="248"/>
      <c r="H4" s="1"/>
      <c r="I4" s="1"/>
      <c r="J4" s="1"/>
    </row>
    <row r="5" spans="1:15" ht="12.75">
      <c r="A5" s="249"/>
      <c r="B5" s="250" t="s">
        <v>3</v>
      </c>
      <c r="C5" s="250" t="s">
        <v>4</v>
      </c>
      <c r="D5" s="251" t="s">
        <v>5</v>
      </c>
      <c r="E5" s="249"/>
      <c r="F5" s="250" t="s">
        <v>3</v>
      </c>
      <c r="G5" s="252" t="s">
        <v>6</v>
      </c>
      <c r="H5" s="19" t="s">
        <v>73</v>
      </c>
      <c r="I5" s="135" t="s">
        <v>113</v>
      </c>
      <c r="J5" s="135" t="s">
        <v>114</v>
      </c>
      <c r="L5" s="29"/>
      <c r="M5" s="30" t="s">
        <v>3</v>
      </c>
      <c r="N5" s="34" t="s">
        <v>6</v>
      </c>
      <c r="O5" s="6"/>
    </row>
    <row r="6" spans="1:15" ht="15.75">
      <c r="A6" s="239" t="s">
        <v>7</v>
      </c>
      <c r="B6" s="253">
        <f>C6*62.004</f>
        <v>666.543</v>
      </c>
      <c r="C6" s="253">
        <v>10.75</v>
      </c>
      <c r="D6" s="254">
        <f>C6</f>
        <v>10.75</v>
      </c>
      <c r="E6" s="239" t="s">
        <v>8</v>
      </c>
      <c r="F6" s="255">
        <f>G6*0.0558</f>
        <v>0.8370000000000001</v>
      </c>
      <c r="G6" s="254">
        <v>15</v>
      </c>
      <c r="H6" s="3">
        <f>D10/(D11+D12)</f>
        <v>0.2654867256637168</v>
      </c>
      <c r="I6" s="3">
        <f>D6+D7+D8</f>
        <v>15</v>
      </c>
      <c r="J6" s="3">
        <f>D9+D10+D11+D12</f>
        <v>15</v>
      </c>
      <c r="L6" s="31" t="s">
        <v>8</v>
      </c>
      <c r="M6" s="169">
        <v>0.035</v>
      </c>
      <c r="N6" s="172">
        <f>M6/0.0558</f>
        <v>0.6272401433691757</v>
      </c>
      <c r="O6" s="1"/>
    </row>
    <row r="7" spans="1:15" ht="15.75">
      <c r="A7" s="239" t="s">
        <v>9</v>
      </c>
      <c r="B7" s="253">
        <f>C7*96.986</f>
        <v>121.2325</v>
      </c>
      <c r="C7" s="253">
        <v>1.25</v>
      </c>
      <c r="D7" s="254">
        <f>C7</f>
        <v>1.25</v>
      </c>
      <c r="E7" s="239" t="s">
        <v>10</v>
      </c>
      <c r="F7" s="255">
        <f>G7*0.0549</f>
        <v>0.5489999999999999</v>
      </c>
      <c r="G7" s="254">
        <v>10</v>
      </c>
      <c r="H7" s="19" t="s">
        <v>78</v>
      </c>
      <c r="I7" s="21"/>
      <c r="J7" s="21"/>
      <c r="L7" s="31" t="s">
        <v>10</v>
      </c>
      <c r="M7" s="169">
        <v>0.036</v>
      </c>
      <c r="N7" s="172">
        <f>M7/0.0549</f>
        <v>0.6557377049180327</v>
      </c>
      <c r="O7" s="1"/>
    </row>
    <row r="8" spans="1:15" ht="15.75">
      <c r="A8" s="239" t="s">
        <v>11</v>
      </c>
      <c r="B8" s="253">
        <f>C8*96.056</f>
        <v>144.084</v>
      </c>
      <c r="C8" s="253">
        <v>1.5</v>
      </c>
      <c r="D8" s="254">
        <f>C8*2</f>
        <v>3</v>
      </c>
      <c r="E8" s="239" t="s">
        <v>12</v>
      </c>
      <c r="F8" s="255">
        <f>G8*0.0654</f>
        <v>0.2616</v>
      </c>
      <c r="G8" s="254">
        <v>4</v>
      </c>
      <c r="H8" s="3">
        <f>D10/D11</f>
        <v>0.4109589041095891</v>
      </c>
      <c r="I8" s="22"/>
      <c r="J8" s="22"/>
      <c r="L8" s="31" t="s">
        <v>12</v>
      </c>
      <c r="M8" s="169">
        <v>0.82</v>
      </c>
      <c r="N8" s="172">
        <f>M8/0.0654</f>
        <v>12.53822629969419</v>
      </c>
      <c r="O8" s="1"/>
    </row>
    <row r="9" spans="1:15" ht="14.25">
      <c r="A9" s="256" t="s">
        <v>82</v>
      </c>
      <c r="B9" s="257">
        <f>C9*18.039</f>
        <v>12.6273</v>
      </c>
      <c r="C9" s="257">
        <v>0.7</v>
      </c>
      <c r="D9" s="258">
        <f>C9</f>
        <v>0.7</v>
      </c>
      <c r="E9" s="259" t="s">
        <v>14</v>
      </c>
      <c r="F9" s="260">
        <f>G9*0.0108</f>
        <v>0.324</v>
      </c>
      <c r="G9" s="261">
        <v>30</v>
      </c>
      <c r="H9" s="1"/>
      <c r="I9" s="3"/>
      <c r="J9" s="23"/>
      <c r="L9" s="33" t="s">
        <v>14</v>
      </c>
      <c r="M9" s="170">
        <v>0.05</v>
      </c>
      <c r="N9" s="172">
        <f>M9/0.0108</f>
        <v>4.62962962962963</v>
      </c>
      <c r="O9" s="1"/>
    </row>
    <row r="10" spans="1:15" ht="12.75">
      <c r="A10" s="256" t="s">
        <v>15</v>
      </c>
      <c r="B10" s="257">
        <f>C10*39.102</f>
        <v>117.30599999999998</v>
      </c>
      <c r="C10" s="257">
        <v>3</v>
      </c>
      <c r="D10" s="258">
        <f>C10</f>
        <v>3</v>
      </c>
      <c r="E10" s="239" t="s">
        <v>16</v>
      </c>
      <c r="F10" s="255">
        <f>G10*0.0635</f>
        <v>0.047625</v>
      </c>
      <c r="G10" s="254">
        <v>0.75</v>
      </c>
      <c r="H10" s="19" t="s">
        <v>79</v>
      </c>
      <c r="I10" s="1"/>
      <c r="J10" s="1"/>
      <c r="L10" s="31" t="s">
        <v>16</v>
      </c>
      <c r="M10" s="169">
        <v>0.012</v>
      </c>
      <c r="N10" s="172">
        <f>M10/0.0635</f>
        <v>0.1889763779527559</v>
      </c>
      <c r="O10" s="1"/>
    </row>
    <row r="11" spans="1:15" ht="13.5" thickBot="1">
      <c r="A11" s="259" t="s">
        <v>17</v>
      </c>
      <c r="B11" s="262">
        <f>C11*40.08</f>
        <v>146.292</v>
      </c>
      <c r="C11" s="262">
        <v>3.65</v>
      </c>
      <c r="D11" s="261">
        <f>C11*2</f>
        <v>7.3</v>
      </c>
      <c r="E11" s="239" t="s">
        <v>18</v>
      </c>
      <c r="F11" s="255">
        <f>G11*0.0959</f>
        <v>0.04795</v>
      </c>
      <c r="G11" s="254">
        <v>0.5</v>
      </c>
      <c r="H11" s="3">
        <f>SUM(C6:C12)</f>
        <v>22.849999999999998</v>
      </c>
      <c r="I11" s="1"/>
      <c r="J11" s="1"/>
      <c r="L11" s="44" t="s">
        <v>18</v>
      </c>
      <c r="M11" s="171">
        <v>0.048</v>
      </c>
      <c r="N11" s="173">
        <f>M11/0.0959</f>
        <v>0.5005213764337852</v>
      </c>
      <c r="O11" s="1"/>
    </row>
    <row r="12" spans="1:15" ht="13.5" thickBot="1">
      <c r="A12" s="263" t="s">
        <v>19</v>
      </c>
      <c r="B12" s="264">
        <f>C12*24.305</f>
        <v>48.61</v>
      </c>
      <c r="C12" s="264">
        <v>2</v>
      </c>
      <c r="D12" s="265">
        <f>C12*2</f>
        <v>4</v>
      </c>
      <c r="E12" s="266"/>
      <c r="F12" s="247"/>
      <c r="G12" s="267"/>
      <c r="H12" s="1"/>
      <c r="I12" s="1"/>
      <c r="J12" s="1"/>
      <c r="L12" s="3"/>
      <c r="M12" s="1"/>
      <c r="N12" s="1"/>
      <c r="O12" s="1"/>
    </row>
    <row r="13" ht="13.5" thickBot="1"/>
    <row r="14" spans="1:10" ht="12.75">
      <c r="A14" s="268" t="s">
        <v>88</v>
      </c>
      <c r="B14" s="269"/>
      <c r="C14" s="269"/>
      <c r="D14" s="269"/>
      <c r="E14" s="269"/>
      <c r="F14" s="269"/>
      <c r="G14" s="270"/>
      <c r="H14" s="1"/>
      <c r="I14" s="1"/>
      <c r="J14" s="1"/>
    </row>
    <row r="15" spans="1:10" ht="12.75">
      <c r="A15" s="271"/>
      <c r="B15" s="272" t="s">
        <v>0</v>
      </c>
      <c r="C15" s="272" t="s">
        <v>0</v>
      </c>
      <c r="D15" s="272" t="s">
        <v>0</v>
      </c>
      <c r="E15" s="272" t="s">
        <v>0</v>
      </c>
      <c r="F15" s="272" t="s">
        <v>0</v>
      </c>
      <c r="G15" s="273" t="s">
        <v>0</v>
      </c>
      <c r="H15" s="1"/>
      <c r="I15" s="1"/>
      <c r="J15" s="1"/>
    </row>
    <row r="16" spans="1:10" ht="12.75">
      <c r="A16" s="274" t="s">
        <v>1</v>
      </c>
      <c r="B16" s="272">
        <v>5.5</v>
      </c>
      <c r="C16" s="272"/>
      <c r="D16" s="275"/>
      <c r="E16" s="276"/>
      <c r="F16" s="276"/>
      <c r="G16" s="277"/>
      <c r="H16" s="1"/>
      <c r="I16" s="1"/>
      <c r="J16" s="1"/>
    </row>
    <row r="17" spans="1:10" ht="15" thickBot="1">
      <c r="A17" s="278" t="s">
        <v>2</v>
      </c>
      <c r="B17" s="279">
        <v>1.7</v>
      </c>
      <c r="C17" s="280"/>
      <c r="D17" s="281"/>
      <c r="E17" s="282"/>
      <c r="F17" s="282"/>
      <c r="G17" s="283"/>
      <c r="H17" s="1"/>
      <c r="I17" s="1"/>
      <c r="J17" s="1"/>
    </row>
    <row r="18" spans="1:10" ht="12.75">
      <c r="A18" s="284"/>
      <c r="B18" s="285" t="s">
        <v>3</v>
      </c>
      <c r="C18" s="285" t="s">
        <v>4</v>
      </c>
      <c r="D18" s="286" t="s">
        <v>5</v>
      </c>
      <c r="E18" s="284"/>
      <c r="F18" s="285" t="s">
        <v>3</v>
      </c>
      <c r="G18" s="287" t="s">
        <v>6</v>
      </c>
      <c r="H18" s="19" t="s">
        <v>73</v>
      </c>
      <c r="I18" s="135" t="s">
        <v>113</v>
      </c>
      <c r="J18" s="135" t="s">
        <v>114</v>
      </c>
    </row>
    <row r="19" spans="1:10" ht="14.25">
      <c r="A19" s="288" t="s">
        <v>83</v>
      </c>
      <c r="B19" s="289">
        <f>C19*62.004</f>
        <v>728.547</v>
      </c>
      <c r="C19" s="289">
        <v>11.75</v>
      </c>
      <c r="D19" s="290">
        <f>C19</f>
        <v>11.75</v>
      </c>
      <c r="E19" s="274" t="s">
        <v>8</v>
      </c>
      <c r="F19" s="291">
        <f>G19*0.0558</f>
        <v>0.8370000000000001</v>
      </c>
      <c r="G19" s="292">
        <v>15</v>
      </c>
      <c r="H19" s="3">
        <f>D23/(D24+D25)</f>
        <v>0.5851063829787234</v>
      </c>
      <c r="I19" s="3">
        <f>D19+D20+D21</f>
        <v>16</v>
      </c>
      <c r="J19" s="3">
        <f>D22+D23+D24+D25</f>
        <v>16</v>
      </c>
    </row>
    <row r="20" spans="1:10" ht="15.75">
      <c r="A20" s="274" t="s">
        <v>9</v>
      </c>
      <c r="B20" s="293">
        <f>C20*96.986</f>
        <v>121.2325</v>
      </c>
      <c r="C20" s="293">
        <v>1.25</v>
      </c>
      <c r="D20" s="292">
        <f>C20</f>
        <v>1.25</v>
      </c>
      <c r="E20" s="274" t="s">
        <v>10</v>
      </c>
      <c r="F20" s="291">
        <f>G20*0.0549</f>
        <v>0.5489999999999999</v>
      </c>
      <c r="G20" s="292">
        <v>10</v>
      </c>
      <c r="H20" s="19" t="s">
        <v>78</v>
      </c>
      <c r="I20" s="21"/>
      <c r="J20" s="21"/>
    </row>
    <row r="21" spans="1:10" ht="15.75">
      <c r="A21" s="274" t="s">
        <v>11</v>
      </c>
      <c r="B21" s="293">
        <f>C21*96.056</f>
        <v>144.084</v>
      </c>
      <c r="C21" s="293">
        <v>1.5</v>
      </c>
      <c r="D21" s="292">
        <f>C21*2</f>
        <v>3</v>
      </c>
      <c r="E21" s="274" t="s">
        <v>12</v>
      </c>
      <c r="F21" s="291">
        <f>G21*0.0654</f>
        <v>0.2616</v>
      </c>
      <c r="G21" s="292">
        <v>4</v>
      </c>
      <c r="H21" s="3">
        <f>D23/D24</f>
        <v>0.859375</v>
      </c>
      <c r="I21" s="22"/>
      <c r="J21" s="22"/>
    </row>
    <row r="22" spans="1:10" ht="14.25">
      <c r="A22" s="288" t="s">
        <v>81</v>
      </c>
      <c r="B22" s="289">
        <f>C22*18.039</f>
        <v>19.842900000000004</v>
      </c>
      <c r="C22" s="289">
        <v>1.1</v>
      </c>
      <c r="D22" s="290">
        <f>C22</f>
        <v>1.1</v>
      </c>
      <c r="E22" s="274" t="s">
        <v>14</v>
      </c>
      <c r="F22" s="291">
        <f>G22*0.0108</f>
        <v>0.21600000000000003</v>
      </c>
      <c r="G22" s="292">
        <v>20</v>
      </c>
      <c r="H22" s="1"/>
      <c r="I22" s="3"/>
      <c r="J22" s="23"/>
    </row>
    <row r="23" spans="1:10" ht="12.75">
      <c r="A23" s="294" t="s">
        <v>15</v>
      </c>
      <c r="B23" s="295">
        <f>C23*39.102</f>
        <v>215.06099999999998</v>
      </c>
      <c r="C23" s="295">
        <v>5.5</v>
      </c>
      <c r="D23" s="296">
        <f>C23</f>
        <v>5.5</v>
      </c>
      <c r="E23" s="274" t="s">
        <v>16</v>
      </c>
      <c r="F23" s="291">
        <f>G23*0.0635</f>
        <v>0.047625</v>
      </c>
      <c r="G23" s="292">
        <v>0.75</v>
      </c>
      <c r="H23" s="19" t="s">
        <v>79</v>
      </c>
      <c r="I23" s="1"/>
      <c r="J23" s="1"/>
    </row>
    <row r="24" spans="1:10" ht="12.75">
      <c r="A24" s="288" t="s">
        <v>17</v>
      </c>
      <c r="B24" s="289">
        <f>C24*40.08</f>
        <v>128.256</v>
      </c>
      <c r="C24" s="289">
        <v>3.2</v>
      </c>
      <c r="D24" s="290">
        <f>C24*2</f>
        <v>6.4</v>
      </c>
      <c r="E24" s="274" t="s">
        <v>18</v>
      </c>
      <c r="F24" s="291">
        <f>G24*0.0959</f>
        <v>0.04795</v>
      </c>
      <c r="G24" s="292">
        <v>0.5</v>
      </c>
      <c r="H24" s="3">
        <f>SUM(C19:C25)</f>
        <v>25.8</v>
      </c>
      <c r="I24" s="1"/>
      <c r="J24" s="1"/>
    </row>
    <row r="25" spans="1:10" ht="13.5" thickBot="1">
      <c r="A25" s="297" t="s">
        <v>19</v>
      </c>
      <c r="B25" s="298">
        <f>C25*24.305</f>
        <v>36.457499999999996</v>
      </c>
      <c r="C25" s="298">
        <v>1.5</v>
      </c>
      <c r="D25" s="299">
        <f>C25*2</f>
        <v>3</v>
      </c>
      <c r="E25" s="300"/>
      <c r="F25" s="282"/>
      <c r="G25" s="301"/>
      <c r="H25" s="1"/>
      <c r="I25" s="1"/>
      <c r="J25" s="1"/>
    </row>
    <row r="26" ht="13.5" thickBot="1"/>
    <row r="27" spans="1:10" ht="12.75">
      <c r="A27" s="53" t="s">
        <v>87</v>
      </c>
      <c r="B27" s="54"/>
      <c r="C27" s="54"/>
      <c r="D27" s="54"/>
      <c r="E27" s="54"/>
      <c r="F27" s="54"/>
      <c r="G27" s="55"/>
      <c r="H27" s="1"/>
      <c r="I27" s="1"/>
      <c r="J27" s="1"/>
    </row>
    <row r="28" spans="1:10" ht="12.75">
      <c r="A28" s="302"/>
      <c r="B28" s="156" t="s">
        <v>0</v>
      </c>
      <c r="C28" s="156" t="s">
        <v>0</v>
      </c>
      <c r="D28" s="156" t="s">
        <v>0</v>
      </c>
      <c r="E28" s="156" t="s">
        <v>0</v>
      </c>
      <c r="F28" s="156" t="s">
        <v>0</v>
      </c>
      <c r="G28" s="303" t="s">
        <v>0</v>
      </c>
      <c r="H28" s="1"/>
      <c r="I28" s="1"/>
      <c r="J28" s="1"/>
    </row>
    <row r="29" spans="1:10" ht="12.75">
      <c r="A29" s="304" t="s">
        <v>1</v>
      </c>
      <c r="B29" s="156">
        <v>5.5</v>
      </c>
      <c r="C29" s="156"/>
      <c r="D29" s="305"/>
      <c r="E29" s="162"/>
      <c r="F29" s="162"/>
      <c r="G29" s="306"/>
      <c r="H29" s="1"/>
      <c r="I29" s="1"/>
      <c r="J29" s="1"/>
    </row>
    <row r="30" spans="1:10" ht="15" thickBot="1">
      <c r="A30" s="307" t="s">
        <v>2</v>
      </c>
      <c r="B30" s="308">
        <v>1.7</v>
      </c>
      <c r="C30" s="309"/>
      <c r="D30" s="310"/>
      <c r="E30" s="311"/>
      <c r="F30" s="311"/>
      <c r="G30" s="312"/>
      <c r="H30" s="1"/>
      <c r="I30" s="1"/>
      <c r="J30" s="1"/>
    </row>
    <row r="31" spans="1:10" ht="12.75">
      <c r="A31" s="313"/>
      <c r="B31" s="314" t="s">
        <v>3</v>
      </c>
      <c r="C31" s="314" t="s">
        <v>4</v>
      </c>
      <c r="D31" s="315" t="s">
        <v>5</v>
      </c>
      <c r="E31" s="313"/>
      <c r="F31" s="314" t="s">
        <v>3</v>
      </c>
      <c r="G31" s="316" t="s">
        <v>6</v>
      </c>
      <c r="H31" s="19" t="s">
        <v>73</v>
      </c>
      <c r="I31" s="135" t="s">
        <v>113</v>
      </c>
      <c r="J31" s="135" t="s">
        <v>114</v>
      </c>
    </row>
    <row r="32" spans="1:10" ht="15.75">
      <c r="A32" s="304" t="s">
        <v>7</v>
      </c>
      <c r="B32" s="317">
        <f>C32*62.004</f>
        <v>666.543</v>
      </c>
      <c r="C32" s="317">
        <v>10.75</v>
      </c>
      <c r="D32" s="318">
        <f>C32</f>
        <v>10.75</v>
      </c>
      <c r="E32" s="304" t="s">
        <v>8</v>
      </c>
      <c r="F32" s="319">
        <f>G32*0.0558</f>
        <v>0.8370000000000001</v>
      </c>
      <c r="G32" s="318">
        <v>15</v>
      </c>
      <c r="H32" s="3">
        <f>D36/(D37+D38)</f>
        <v>0.6547619047619048</v>
      </c>
      <c r="I32" s="3">
        <f>D32+D33+D34</f>
        <v>15</v>
      </c>
      <c r="J32" s="3">
        <f>D35+D36+D37+D38</f>
        <v>15</v>
      </c>
    </row>
    <row r="33" spans="1:10" ht="15.75">
      <c r="A33" s="304" t="s">
        <v>9</v>
      </c>
      <c r="B33" s="317">
        <f>C33*96.986</f>
        <v>121.2325</v>
      </c>
      <c r="C33" s="317">
        <v>1.25</v>
      </c>
      <c r="D33" s="318">
        <f>C33</f>
        <v>1.25</v>
      </c>
      <c r="E33" s="304" t="s">
        <v>10</v>
      </c>
      <c r="F33" s="319">
        <f>G33*0.0549</f>
        <v>0.5489999999999999</v>
      </c>
      <c r="G33" s="318">
        <v>10</v>
      </c>
      <c r="H33" s="19" t="s">
        <v>78</v>
      </c>
      <c r="I33" s="21"/>
      <c r="J33" s="21"/>
    </row>
    <row r="34" spans="1:10" ht="15.75">
      <c r="A34" s="304" t="s">
        <v>11</v>
      </c>
      <c r="B34" s="317">
        <f>C34*96.056</f>
        <v>144.084</v>
      </c>
      <c r="C34" s="317">
        <v>1.5</v>
      </c>
      <c r="D34" s="318">
        <f>C34*2</f>
        <v>3</v>
      </c>
      <c r="E34" s="304" t="s">
        <v>12</v>
      </c>
      <c r="F34" s="319">
        <f>G34*0.0654</f>
        <v>0.2616</v>
      </c>
      <c r="G34" s="318">
        <v>4</v>
      </c>
      <c r="H34" s="3">
        <f>D36/D37</f>
        <v>0.859375</v>
      </c>
      <c r="I34" s="22"/>
      <c r="J34" s="22"/>
    </row>
    <row r="35" spans="1:10" ht="14.25">
      <c r="A35" s="320" t="s">
        <v>81</v>
      </c>
      <c r="B35" s="321">
        <f>C35*18.039</f>
        <v>19.842900000000004</v>
      </c>
      <c r="C35" s="321">
        <v>1.1</v>
      </c>
      <c r="D35" s="322">
        <f>C35</f>
        <v>1.1</v>
      </c>
      <c r="E35" s="304" t="s">
        <v>14</v>
      </c>
      <c r="F35" s="319">
        <f>G35*0.0108</f>
        <v>0.21600000000000003</v>
      </c>
      <c r="G35" s="318">
        <v>20</v>
      </c>
      <c r="H35" s="1"/>
      <c r="I35" s="3"/>
      <c r="J35" s="23"/>
    </row>
    <row r="36" spans="1:10" ht="12.75">
      <c r="A36" s="323" t="s">
        <v>15</v>
      </c>
      <c r="B36" s="324">
        <f>C36*39.102</f>
        <v>215.06099999999998</v>
      </c>
      <c r="C36" s="324">
        <v>5.5</v>
      </c>
      <c r="D36" s="325">
        <f>C36</f>
        <v>5.5</v>
      </c>
      <c r="E36" s="304" t="s">
        <v>16</v>
      </c>
      <c r="F36" s="319">
        <f>G36*0.0635</f>
        <v>0.047625</v>
      </c>
      <c r="G36" s="318">
        <v>0.75</v>
      </c>
      <c r="H36" s="19" t="s">
        <v>79</v>
      </c>
      <c r="I36" s="1"/>
      <c r="J36" s="1"/>
    </row>
    <row r="37" spans="1:10" ht="12.75">
      <c r="A37" s="320" t="s">
        <v>17</v>
      </c>
      <c r="B37" s="321">
        <f>C37*40.08</f>
        <v>128.256</v>
      </c>
      <c r="C37" s="321">
        <v>3.2</v>
      </c>
      <c r="D37" s="322">
        <f>C37*2</f>
        <v>6.4</v>
      </c>
      <c r="E37" s="304" t="s">
        <v>18</v>
      </c>
      <c r="F37" s="319">
        <f>G37*0.0959</f>
        <v>0.04795</v>
      </c>
      <c r="G37" s="318">
        <v>0.5</v>
      </c>
      <c r="H37" s="3">
        <f>SUM(C32:C38)</f>
        <v>24.3</v>
      </c>
      <c r="I37" s="1"/>
      <c r="J37" s="1"/>
    </row>
    <row r="38" spans="1:10" ht="13.5" thickBot="1">
      <c r="A38" s="307" t="s">
        <v>19</v>
      </c>
      <c r="B38" s="309">
        <f>C38*24.305</f>
        <v>24.305</v>
      </c>
      <c r="C38" s="309">
        <v>1</v>
      </c>
      <c r="D38" s="326">
        <f>C38*2</f>
        <v>2</v>
      </c>
      <c r="E38" s="327"/>
      <c r="F38" s="311"/>
      <c r="G38" s="328"/>
      <c r="H38" s="1"/>
      <c r="I38" s="1"/>
      <c r="J38" s="1"/>
    </row>
    <row r="39" spans="1:10" ht="13.5" thickBot="1">
      <c r="A39" s="67"/>
      <c r="B39" s="68"/>
      <c r="C39" s="68"/>
      <c r="D39" s="69"/>
      <c r="E39" s="70"/>
      <c r="F39" s="70"/>
      <c r="G39" s="68"/>
      <c r="H39" s="1"/>
      <c r="I39" s="1"/>
      <c r="J39" s="1"/>
    </row>
    <row r="40" spans="1:10" ht="12.75">
      <c r="A40" s="329" t="s">
        <v>85</v>
      </c>
      <c r="B40" s="330"/>
      <c r="C40" s="330"/>
      <c r="D40" s="330"/>
      <c r="E40" s="330"/>
      <c r="F40" s="330"/>
      <c r="G40" s="331"/>
      <c r="H40" s="1"/>
      <c r="I40" s="1"/>
      <c r="J40" s="1"/>
    </row>
    <row r="41" spans="1:10" ht="12.75">
      <c r="A41" s="332"/>
      <c r="B41" s="333" t="s">
        <v>0</v>
      </c>
      <c r="C41" s="333" t="s">
        <v>0</v>
      </c>
      <c r="D41" s="333" t="s">
        <v>0</v>
      </c>
      <c r="E41" s="333" t="s">
        <v>0</v>
      </c>
      <c r="F41" s="333" t="s">
        <v>0</v>
      </c>
      <c r="G41" s="334" t="s">
        <v>0</v>
      </c>
      <c r="H41" s="1"/>
      <c r="I41" s="1"/>
      <c r="J41" s="1"/>
    </row>
    <row r="42" spans="1:10" ht="12.75">
      <c r="A42" s="335" t="s">
        <v>1</v>
      </c>
      <c r="B42" s="333">
        <v>5.5</v>
      </c>
      <c r="C42" s="333"/>
      <c r="D42" s="336"/>
      <c r="E42" s="337"/>
      <c r="F42" s="337"/>
      <c r="G42" s="338"/>
      <c r="H42" s="1"/>
      <c r="I42" s="1"/>
      <c r="J42" s="1"/>
    </row>
    <row r="43" spans="1:10" ht="15" thickBot="1">
      <c r="A43" s="339" t="s">
        <v>2</v>
      </c>
      <c r="B43" s="340">
        <v>1.7</v>
      </c>
      <c r="C43" s="341"/>
      <c r="D43" s="342"/>
      <c r="E43" s="343"/>
      <c r="F43" s="343"/>
      <c r="G43" s="344"/>
      <c r="H43" s="1"/>
      <c r="I43" s="1"/>
      <c r="J43" s="1"/>
    </row>
    <row r="44" spans="1:10" ht="12.75">
      <c r="A44" s="345"/>
      <c r="B44" s="346" t="s">
        <v>3</v>
      </c>
      <c r="C44" s="346" t="s">
        <v>4</v>
      </c>
      <c r="D44" s="347" t="s">
        <v>5</v>
      </c>
      <c r="E44" s="345"/>
      <c r="F44" s="346" t="s">
        <v>3</v>
      </c>
      <c r="G44" s="348" t="s">
        <v>6</v>
      </c>
      <c r="H44" s="19" t="s">
        <v>73</v>
      </c>
      <c r="I44" s="135" t="s">
        <v>113</v>
      </c>
      <c r="J44" s="135" t="s">
        <v>114</v>
      </c>
    </row>
    <row r="45" spans="1:10" ht="15.75">
      <c r="A45" s="335" t="s">
        <v>7</v>
      </c>
      <c r="B45" s="349">
        <f>C45*62.004</f>
        <v>666.543</v>
      </c>
      <c r="C45" s="349">
        <v>10.75</v>
      </c>
      <c r="D45" s="350">
        <f>C45</f>
        <v>10.75</v>
      </c>
      <c r="E45" s="335" t="s">
        <v>8</v>
      </c>
      <c r="F45" s="351">
        <f>G45*0.0558</f>
        <v>0.8370000000000001</v>
      </c>
      <c r="G45" s="350">
        <v>15</v>
      </c>
      <c r="H45" s="3">
        <f>D49/(D50+D51)</f>
        <v>0.8666666666666667</v>
      </c>
      <c r="I45" s="3">
        <f>D45+D46+D47</f>
        <v>15</v>
      </c>
      <c r="J45" s="3">
        <f>D48+D49+D50+D51</f>
        <v>15</v>
      </c>
    </row>
    <row r="46" spans="1:10" ht="15.75">
      <c r="A46" s="335" t="s">
        <v>9</v>
      </c>
      <c r="B46" s="349">
        <f>C46*96.986</f>
        <v>121.2325</v>
      </c>
      <c r="C46" s="349">
        <v>1.25</v>
      </c>
      <c r="D46" s="350">
        <f>C46</f>
        <v>1.25</v>
      </c>
      <c r="E46" s="335" t="s">
        <v>10</v>
      </c>
      <c r="F46" s="351">
        <f>G46*0.0549</f>
        <v>0.5489999999999999</v>
      </c>
      <c r="G46" s="350">
        <v>10</v>
      </c>
      <c r="H46" s="19" t="s">
        <v>78</v>
      </c>
      <c r="I46" s="21"/>
      <c r="J46" s="21"/>
    </row>
    <row r="47" spans="1:10" ht="15.75">
      <c r="A47" s="335" t="s">
        <v>11</v>
      </c>
      <c r="B47" s="349">
        <f>C47*96.056</f>
        <v>144.084</v>
      </c>
      <c r="C47" s="349">
        <v>1.5</v>
      </c>
      <c r="D47" s="350">
        <f>C47*2</f>
        <v>3</v>
      </c>
      <c r="E47" s="335" t="s">
        <v>12</v>
      </c>
      <c r="F47" s="351">
        <f>G47*0.0654</f>
        <v>0.2616</v>
      </c>
      <c r="G47" s="350">
        <v>4</v>
      </c>
      <c r="H47" s="3">
        <f>D49/D50</f>
        <v>1.1818181818181819</v>
      </c>
      <c r="I47" s="22"/>
      <c r="J47" s="22"/>
    </row>
    <row r="48" spans="1:10" ht="15.75">
      <c r="A48" s="335" t="s">
        <v>13</v>
      </c>
      <c r="B48" s="349">
        <f>C48*18.039</f>
        <v>18.039</v>
      </c>
      <c r="C48" s="349">
        <v>1</v>
      </c>
      <c r="D48" s="350">
        <f>C48</f>
        <v>1</v>
      </c>
      <c r="E48" s="335" t="s">
        <v>14</v>
      </c>
      <c r="F48" s="351">
        <f>G48*0.0108</f>
        <v>0.21600000000000003</v>
      </c>
      <c r="G48" s="350">
        <v>20</v>
      </c>
      <c r="H48" s="1"/>
      <c r="I48" s="3"/>
      <c r="J48" s="23"/>
    </row>
    <row r="49" spans="1:10" ht="12.75">
      <c r="A49" s="335" t="s">
        <v>15</v>
      </c>
      <c r="B49" s="349">
        <f>C49*39.102</f>
        <v>254.16299999999998</v>
      </c>
      <c r="C49" s="349">
        <v>6.5</v>
      </c>
      <c r="D49" s="350">
        <f>C49</f>
        <v>6.5</v>
      </c>
      <c r="E49" s="335" t="s">
        <v>16</v>
      </c>
      <c r="F49" s="351">
        <f>G49*0.0635</f>
        <v>0.047625</v>
      </c>
      <c r="G49" s="350">
        <v>0.75</v>
      </c>
      <c r="H49" s="19" t="s">
        <v>79</v>
      </c>
      <c r="I49" s="1"/>
      <c r="J49" s="1"/>
    </row>
    <row r="50" spans="1:10" ht="12.75">
      <c r="A50" s="335" t="s">
        <v>17</v>
      </c>
      <c r="B50" s="349">
        <f>C50*40.08</f>
        <v>110.22</v>
      </c>
      <c r="C50" s="349">
        <v>2.75</v>
      </c>
      <c r="D50" s="350">
        <f>C50*2</f>
        <v>5.5</v>
      </c>
      <c r="E50" s="335" t="s">
        <v>18</v>
      </c>
      <c r="F50" s="351">
        <f>G50*0.0959</f>
        <v>0.04795</v>
      </c>
      <c r="G50" s="350">
        <v>0.5</v>
      </c>
      <c r="H50" s="3">
        <f>SUM(C45:C51)</f>
        <v>24.75</v>
      </c>
      <c r="I50" s="1"/>
      <c r="J50" s="1"/>
    </row>
    <row r="51" spans="1:10" ht="13.5" thickBot="1">
      <c r="A51" s="339" t="s">
        <v>19</v>
      </c>
      <c r="B51" s="341">
        <f>C51*24.305</f>
        <v>24.305</v>
      </c>
      <c r="C51" s="341">
        <v>1</v>
      </c>
      <c r="D51" s="352">
        <f>C51*2</f>
        <v>2</v>
      </c>
      <c r="E51" s="353"/>
      <c r="F51" s="343"/>
      <c r="G51" s="354"/>
      <c r="H51" s="1"/>
      <c r="I51" s="1"/>
      <c r="J51" s="1"/>
    </row>
    <row r="52" ht="13.5" thickBot="1"/>
    <row r="53" spans="1:10" ht="14.25">
      <c r="A53" s="58" t="s">
        <v>84</v>
      </c>
      <c r="B53" s="59"/>
      <c r="C53" s="59"/>
      <c r="D53" s="59"/>
      <c r="E53" s="59"/>
      <c r="F53" s="59"/>
      <c r="G53" s="59"/>
      <c r="H53" s="60"/>
      <c r="I53" s="1"/>
      <c r="J53" s="1"/>
    </row>
    <row r="54" spans="1:10" ht="12.75">
      <c r="A54" s="355"/>
      <c r="B54" s="356" t="s">
        <v>0</v>
      </c>
      <c r="C54" s="356" t="s">
        <v>0</v>
      </c>
      <c r="D54" s="356" t="s">
        <v>0</v>
      </c>
      <c r="E54" s="356" t="s">
        <v>0</v>
      </c>
      <c r="F54" s="356" t="s">
        <v>0</v>
      </c>
      <c r="G54" s="356" t="s">
        <v>0</v>
      </c>
      <c r="H54" s="357"/>
      <c r="I54" s="1"/>
      <c r="J54" s="1"/>
    </row>
    <row r="55" spans="1:10" ht="12.75">
      <c r="A55" s="358" t="s">
        <v>1</v>
      </c>
      <c r="B55" s="356">
        <v>5.5</v>
      </c>
      <c r="C55" s="356"/>
      <c r="D55" s="359"/>
      <c r="E55" s="360"/>
      <c r="F55" s="360"/>
      <c r="G55" s="361"/>
      <c r="H55" s="357"/>
      <c r="I55" s="1"/>
      <c r="J55" s="1"/>
    </row>
    <row r="56" spans="1:10" ht="15" thickBot="1">
      <c r="A56" s="362" t="s">
        <v>2</v>
      </c>
      <c r="B56" s="363">
        <v>1.7</v>
      </c>
      <c r="C56" s="364"/>
      <c r="D56" s="365"/>
      <c r="E56" s="366"/>
      <c r="F56" s="366"/>
      <c r="G56" s="367"/>
      <c r="H56" s="368"/>
      <c r="I56" s="1"/>
      <c r="J56" s="1"/>
    </row>
    <row r="57" spans="1:10" ht="12.75">
      <c r="A57" s="358"/>
      <c r="B57" s="356" t="s">
        <v>3</v>
      </c>
      <c r="C57" s="356" t="s">
        <v>4</v>
      </c>
      <c r="D57" s="369" t="s">
        <v>5</v>
      </c>
      <c r="E57" s="358"/>
      <c r="F57" s="356" t="s">
        <v>3</v>
      </c>
      <c r="G57" s="370" t="s">
        <v>6</v>
      </c>
      <c r="H57" s="19" t="s">
        <v>73</v>
      </c>
      <c r="I57" s="135" t="s">
        <v>113</v>
      </c>
      <c r="J57" s="135" t="s">
        <v>114</v>
      </c>
    </row>
    <row r="58" spans="1:10" ht="14.25">
      <c r="A58" s="371" t="s">
        <v>83</v>
      </c>
      <c r="B58" s="372">
        <f>C58*62.004</f>
        <v>790.5509999999999</v>
      </c>
      <c r="C58" s="372">
        <v>12.75</v>
      </c>
      <c r="D58" s="373">
        <f>C58</f>
        <v>12.75</v>
      </c>
      <c r="E58" s="358" t="s">
        <v>8</v>
      </c>
      <c r="F58" s="374">
        <f>G58*0.0558</f>
        <v>0.8370000000000001</v>
      </c>
      <c r="G58" s="375">
        <v>15</v>
      </c>
      <c r="H58" s="3">
        <f>D62/(D63+D64)</f>
        <v>1.1333333333333333</v>
      </c>
      <c r="I58" s="3">
        <f>D58+D59+D60</f>
        <v>17</v>
      </c>
      <c r="J58" s="3">
        <f>D61+D62+D63+D64</f>
        <v>17</v>
      </c>
    </row>
    <row r="59" spans="1:10" ht="15.75">
      <c r="A59" s="358" t="s">
        <v>9</v>
      </c>
      <c r="B59" s="376">
        <f>C59*96.986</f>
        <v>121.2325</v>
      </c>
      <c r="C59" s="376">
        <v>1.25</v>
      </c>
      <c r="D59" s="375">
        <f>C59</f>
        <v>1.25</v>
      </c>
      <c r="E59" s="358" t="s">
        <v>10</v>
      </c>
      <c r="F59" s="374">
        <f>G59*0.0549</f>
        <v>0.5489999999999999</v>
      </c>
      <c r="G59" s="375">
        <v>10</v>
      </c>
      <c r="H59" s="19" t="s">
        <v>78</v>
      </c>
      <c r="I59" s="21"/>
      <c r="J59" s="21"/>
    </row>
    <row r="60" spans="1:10" ht="15.75">
      <c r="A60" s="358" t="s">
        <v>11</v>
      </c>
      <c r="B60" s="376">
        <f>C60*96.056</f>
        <v>144.084</v>
      </c>
      <c r="C60" s="376">
        <v>1.5</v>
      </c>
      <c r="D60" s="375">
        <f>C60*2</f>
        <v>3</v>
      </c>
      <c r="E60" s="358" t="s">
        <v>12</v>
      </c>
      <c r="F60" s="374">
        <f>G60*0.0654</f>
        <v>0.2616</v>
      </c>
      <c r="G60" s="375">
        <v>4</v>
      </c>
      <c r="H60" s="3">
        <f>D62/D63</f>
        <v>1.5454545454545454</v>
      </c>
      <c r="I60" s="22"/>
      <c r="J60" s="22"/>
    </row>
    <row r="61" spans="1:10" ht="15.75">
      <c r="A61" s="358" t="s">
        <v>13</v>
      </c>
      <c r="B61" s="376">
        <f>C61*18.039</f>
        <v>18.039</v>
      </c>
      <c r="C61" s="376">
        <v>1</v>
      </c>
      <c r="D61" s="375">
        <f>C61</f>
        <v>1</v>
      </c>
      <c r="E61" s="358" t="s">
        <v>14</v>
      </c>
      <c r="F61" s="374">
        <f>G61*0.0108</f>
        <v>0.21600000000000003</v>
      </c>
      <c r="G61" s="375">
        <v>20</v>
      </c>
      <c r="H61" s="1"/>
      <c r="I61" s="3"/>
      <c r="J61" s="23"/>
    </row>
    <row r="62" spans="1:10" ht="12.75">
      <c r="A62" s="371" t="s">
        <v>15</v>
      </c>
      <c r="B62" s="372">
        <f>C62*39.102</f>
        <v>332.36699999999996</v>
      </c>
      <c r="C62" s="372">
        <v>8.5</v>
      </c>
      <c r="D62" s="373">
        <f>C62</f>
        <v>8.5</v>
      </c>
      <c r="E62" s="358" t="s">
        <v>16</v>
      </c>
      <c r="F62" s="374">
        <f>G62*0.0635</f>
        <v>0.047625</v>
      </c>
      <c r="G62" s="375">
        <v>0.75</v>
      </c>
      <c r="H62" s="19" t="s">
        <v>79</v>
      </c>
      <c r="I62" s="1"/>
      <c r="J62" s="1"/>
    </row>
    <row r="63" spans="1:10" ht="12.75">
      <c r="A63" s="358" t="s">
        <v>17</v>
      </c>
      <c r="B63" s="376">
        <f>C63*40.08</f>
        <v>110.22</v>
      </c>
      <c r="C63" s="376">
        <v>2.75</v>
      </c>
      <c r="D63" s="375">
        <f>C63*2</f>
        <v>5.5</v>
      </c>
      <c r="E63" s="358" t="s">
        <v>18</v>
      </c>
      <c r="F63" s="374">
        <f>G63*0.0959</f>
        <v>0.04795</v>
      </c>
      <c r="G63" s="375">
        <v>0.5</v>
      </c>
      <c r="H63" s="3">
        <f>SUM(C58:C64)</f>
        <v>28.75</v>
      </c>
      <c r="I63" s="1"/>
      <c r="J63" s="1"/>
    </row>
    <row r="64" spans="1:10" ht="13.5" thickBot="1">
      <c r="A64" s="362" t="s">
        <v>19</v>
      </c>
      <c r="B64" s="364">
        <f>C64*24.305</f>
        <v>24.305</v>
      </c>
      <c r="C64" s="364">
        <v>1</v>
      </c>
      <c r="D64" s="377">
        <f>C64*2</f>
        <v>2</v>
      </c>
      <c r="E64" s="378"/>
      <c r="F64" s="366"/>
      <c r="G64" s="379"/>
      <c r="H64" s="1"/>
      <c r="I64" s="1"/>
      <c r="J64" s="1"/>
    </row>
    <row r="65" ht="13.5" thickBot="1"/>
    <row r="66" spans="1:10" ht="12.75">
      <c r="A66" s="63" t="s">
        <v>86</v>
      </c>
      <c r="B66" s="64"/>
      <c r="C66" s="64"/>
      <c r="D66" s="64"/>
      <c r="E66" s="64"/>
      <c r="F66" s="64"/>
      <c r="G66" s="65"/>
      <c r="H66" s="25"/>
      <c r="I66" s="25"/>
      <c r="J66" s="25"/>
    </row>
    <row r="67" spans="1:7" ht="12.75">
      <c r="A67" s="380"/>
      <c r="B67" s="381" t="s">
        <v>0</v>
      </c>
      <c r="C67" s="381" t="s">
        <v>0</v>
      </c>
      <c r="D67" s="381" t="s">
        <v>0</v>
      </c>
      <c r="E67" s="381" t="s">
        <v>0</v>
      </c>
      <c r="F67" s="381" t="s">
        <v>0</v>
      </c>
      <c r="G67" s="382" t="s">
        <v>0</v>
      </c>
    </row>
    <row r="68" spans="1:7" ht="12.75">
      <c r="A68" s="383" t="s">
        <v>1</v>
      </c>
      <c r="B68" s="384">
        <v>5.5</v>
      </c>
      <c r="C68" s="381"/>
      <c r="D68" s="381"/>
      <c r="E68" s="385"/>
      <c r="F68" s="385"/>
      <c r="G68" s="386"/>
    </row>
    <row r="69" spans="1:7" ht="15" thickBot="1">
      <c r="A69" s="387" t="s">
        <v>90</v>
      </c>
      <c r="B69" s="388">
        <v>3</v>
      </c>
      <c r="C69" s="389"/>
      <c r="D69" s="390"/>
      <c r="E69" s="391"/>
      <c r="F69" s="391"/>
      <c r="G69" s="392"/>
    </row>
    <row r="70" spans="1:10" ht="12.75">
      <c r="A70" s="393"/>
      <c r="B70" s="394" t="s">
        <v>3</v>
      </c>
      <c r="C70" s="394" t="s">
        <v>4</v>
      </c>
      <c r="D70" s="395" t="s">
        <v>5</v>
      </c>
      <c r="E70" s="393"/>
      <c r="F70" s="394" t="s">
        <v>3</v>
      </c>
      <c r="G70" s="396" t="s">
        <v>27</v>
      </c>
      <c r="H70" s="19" t="s">
        <v>73</v>
      </c>
      <c r="I70" s="135" t="s">
        <v>113</v>
      </c>
      <c r="J70" s="135" t="s">
        <v>114</v>
      </c>
    </row>
    <row r="71" spans="1:10" ht="15.75">
      <c r="A71" s="397" t="s">
        <v>7</v>
      </c>
      <c r="B71" s="398">
        <f>C71*62.004</f>
        <v>1054.068</v>
      </c>
      <c r="C71" s="398">
        <v>17</v>
      </c>
      <c r="D71" s="399">
        <f>C71</f>
        <v>17</v>
      </c>
      <c r="E71" s="397" t="s">
        <v>8</v>
      </c>
      <c r="F71" s="400">
        <f>G71*0.0558</f>
        <v>1.395</v>
      </c>
      <c r="G71" s="399">
        <v>25</v>
      </c>
      <c r="H71" s="3">
        <f>D75/(D76+D77)</f>
        <v>0.3333333333333333</v>
      </c>
      <c r="I71" s="3">
        <f>D71+D72+D73</f>
        <v>27.7</v>
      </c>
      <c r="J71" s="3">
        <f>D74+D75+D76+D77</f>
        <v>28.5</v>
      </c>
    </row>
    <row r="72" spans="1:10" ht="15.75">
      <c r="A72" s="397" t="s">
        <v>9</v>
      </c>
      <c r="B72" s="398">
        <f>C72*96.986</f>
        <v>67.8902</v>
      </c>
      <c r="C72" s="398">
        <v>0.7</v>
      </c>
      <c r="D72" s="399">
        <f>C72</f>
        <v>0.7</v>
      </c>
      <c r="E72" s="397" t="s">
        <v>10</v>
      </c>
      <c r="F72" s="400">
        <f>G72*0.0549</f>
        <v>0.27449999999999997</v>
      </c>
      <c r="G72" s="399">
        <v>5</v>
      </c>
      <c r="H72" s="19" t="s">
        <v>78</v>
      </c>
      <c r="I72" s="21"/>
      <c r="J72" s="21"/>
    </row>
    <row r="73" spans="1:10" ht="15.75">
      <c r="A73" s="397" t="s">
        <v>11</v>
      </c>
      <c r="B73" s="398">
        <f>C73*96.056</f>
        <v>480.28</v>
      </c>
      <c r="C73" s="398">
        <v>5</v>
      </c>
      <c r="D73" s="399">
        <f>C73*2</f>
        <v>10</v>
      </c>
      <c r="E73" s="397" t="s">
        <v>12</v>
      </c>
      <c r="F73" s="400">
        <f>G73*0.0654</f>
        <v>0.4578</v>
      </c>
      <c r="G73" s="399">
        <v>7</v>
      </c>
      <c r="H73" s="3">
        <f>D75/D76</f>
        <v>0.5</v>
      </c>
      <c r="I73" s="22"/>
      <c r="J73" s="22"/>
    </row>
    <row r="74" spans="1:10" ht="15.75">
      <c r="A74" s="397" t="s">
        <v>13</v>
      </c>
      <c r="B74" s="398">
        <f>C74*18.039</f>
        <v>9.0195</v>
      </c>
      <c r="C74" s="398">
        <v>0.5</v>
      </c>
      <c r="D74" s="399">
        <f>C74</f>
        <v>0.5</v>
      </c>
      <c r="E74" s="397" t="s">
        <v>14</v>
      </c>
      <c r="F74" s="400">
        <f>G74*0.0108</f>
        <v>0.54</v>
      </c>
      <c r="G74" s="399">
        <v>50</v>
      </c>
      <c r="H74" s="1"/>
      <c r="I74" s="3"/>
      <c r="J74" s="401"/>
    </row>
    <row r="75" spans="1:10" ht="12.75">
      <c r="A75" s="397" t="s">
        <v>15</v>
      </c>
      <c r="B75" s="398">
        <f>C75*39.102</f>
        <v>273.714</v>
      </c>
      <c r="C75" s="398">
        <v>7</v>
      </c>
      <c r="D75" s="399">
        <f>C75</f>
        <v>7</v>
      </c>
      <c r="E75" s="397" t="s">
        <v>16</v>
      </c>
      <c r="F75" s="400">
        <f>G75*0.0635</f>
        <v>0.044449999999999996</v>
      </c>
      <c r="G75" s="399">
        <v>0.7</v>
      </c>
      <c r="H75" s="19" t="s">
        <v>79</v>
      </c>
      <c r="I75" s="1"/>
      <c r="J75" s="1"/>
    </row>
    <row r="76" spans="1:10" ht="12.75">
      <c r="A76" s="397" t="s">
        <v>17</v>
      </c>
      <c r="B76" s="398">
        <f>C76*40.08</f>
        <v>280.56</v>
      </c>
      <c r="C76" s="398">
        <v>7</v>
      </c>
      <c r="D76" s="399">
        <f>C76*2</f>
        <v>14</v>
      </c>
      <c r="E76" s="397" t="s">
        <v>18</v>
      </c>
      <c r="F76" s="400">
        <f>G76*0.0959</f>
        <v>0</v>
      </c>
      <c r="G76" s="399"/>
      <c r="H76" s="3">
        <f>SUM(C71:C77)</f>
        <v>40.7</v>
      </c>
      <c r="I76" s="1"/>
      <c r="J76" s="1"/>
    </row>
    <row r="77" spans="1:10" ht="13.5" thickBot="1">
      <c r="A77" s="402" t="s">
        <v>19</v>
      </c>
      <c r="B77" s="403">
        <f>C77*24.305</f>
        <v>85.0675</v>
      </c>
      <c r="C77" s="403">
        <v>3.5</v>
      </c>
      <c r="D77" s="404">
        <f>C77*2</f>
        <v>7</v>
      </c>
      <c r="E77" s="405"/>
      <c r="F77" s="406"/>
      <c r="G77" s="404"/>
      <c r="H77" s="407"/>
      <c r="I77" s="407"/>
      <c r="J77" s="407"/>
    </row>
  </sheetData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85" zoomScaleNormal="85" workbookViewId="0" topLeftCell="A1">
      <selection activeCell="B32" sqref="B32"/>
    </sheetView>
  </sheetViews>
  <sheetFormatPr defaultColWidth="11.421875" defaultRowHeight="12.75"/>
  <cols>
    <col min="1" max="1" width="60.421875" style="1" customWidth="1"/>
    <col min="2" max="16384" width="11.421875" style="1" customWidth="1"/>
  </cols>
  <sheetData>
    <row r="1" spans="1:4" ht="13.5">
      <c r="A1" s="7" t="s">
        <v>97</v>
      </c>
      <c r="D1" s="192" t="s">
        <v>178</v>
      </c>
    </row>
    <row r="2" ht="13.5">
      <c r="D2" s="193" t="s">
        <v>179</v>
      </c>
    </row>
    <row r="3" ht="12.75">
      <c r="A3" s="16" t="s">
        <v>94</v>
      </c>
    </row>
    <row r="5" ht="12.75">
      <c r="A5" s="20" t="s">
        <v>121</v>
      </c>
    </row>
    <row r="6" ht="13.5" thickBot="1">
      <c r="A6" s="15" t="s">
        <v>191</v>
      </c>
    </row>
    <row r="7" spans="1:5" ht="26.25" thickBot="1">
      <c r="A7" s="17" t="s">
        <v>166</v>
      </c>
      <c r="B7" s="424" t="s">
        <v>106</v>
      </c>
      <c r="C7" s="425"/>
      <c r="D7" s="118">
        <v>40</v>
      </c>
      <c r="E7" s="127"/>
    </row>
    <row r="8" spans="1:2" ht="13.5" thickBot="1">
      <c r="A8" s="167" t="s">
        <v>165</v>
      </c>
      <c r="B8" s="168">
        <f>'Fert 2sem'!C2</f>
        <v>38806</v>
      </c>
    </row>
    <row r="9" spans="1:5" ht="51.75" thickBot="1">
      <c r="A9" s="114" t="s">
        <v>59</v>
      </c>
      <c r="B9" s="115" t="s">
        <v>3</v>
      </c>
      <c r="C9" s="116" t="s">
        <v>180</v>
      </c>
      <c r="D9" s="119" t="s">
        <v>181</v>
      </c>
      <c r="E9" s="127"/>
    </row>
    <row r="10" spans="1:5" ht="12.75">
      <c r="A10" s="40"/>
      <c r="B10" s="22"/>
      <c r="C10" s="105"/>
      <c r="D10" s="128"/>
      <c r="E10" s="128"/>
    </row>
    <row r="11" spans="1:5" ht="12.75">
      <c r="A11" s="106" t="s">
        <v>61</v>
      </c>
      <c r="B11" s="22"/>
      <c r="C11" s="105"/>
      <c r="D11" s="120"/>
      <c r="E11" s="120"/>
    </row>
    <row r="12" spans="1:5" ht="12.75">
      <c r="A12" s="40"/>
      <c r="B12" s="22"/>
      <c r="C12" s="105"/>
      <c r="D12" s="120"/>
      <c r="E12" s="120"/>
    </row>
    <row r="13" spans="1:7" ht="19.5">
      <c r="A13" s="182" t="s">
        <v>167</v>
      </c>
      <c r="B13" s="183">
        <f>'Fert 4-8sem'!J13</f>
        <v>170</v>
      </c>
      <c r="C13" s="184">
        <f>B13*0.3</f>
        <v>51</v>
      </c>
      <c r="D13" s="190">
        <f aca="true" t="shared" si="0" ref="D13:D19">C13*$D$7/1000</f>
        <v>2.04</v>
      </c>
      <c r="E13" s="130"/>
      <c r="G13" s="176"/>
    </row>
    <row r="14" spans="1:7" ht="19.5">
      <c r="A14" s="182" t="s">
        <v>168</v>
      </c>
      <c r="B14" s="183">
        <v>0</v>
      </c>
      <c r="C14" s="184">
        <f aca="true" t="shared" si="1" ref="C14:C19">B14*0.3</f>
        <v>0</v>
      </c>
      <c r="D14" s="190">
        <f t="shared" si="0"/>
        <v>0</v>
      </c>
      <c r="E14" s="130"/>
      <c r="G14" s="176"/>
    </row>
    <row r="15" spans="1:7" ht="19.5">
      <c r="A15" s="182" t="s">
        <v>169</v>
      </c>
      <c r="B15" s="183">
        <f>'Fert 4-8sem'!J15</f>
        <v>125.44</v>
      </c>
      <c r="C15" s="184">
        <f t="shared" si="1"/>
        <v>37.632</v>
      </c>
      <c r="D15" s="190">
        <f t="shared" si="0"/>
        <v>1.50528</v>
      </c>
      <c r="E15" s="130"/>
      <c r="G15" s="176"/>
    </row>
    <row r="16" spans="1:7" ht="19.5">
      <c r="A16" s="182" t="s">
        <v>170</v>
      </c>
      <c r="B16" s="183">
        <f>'Fert 4-8sem'!J16</f>
        <v>40.59000000000001</v>
      </c>
      <c r="C16" s="184">
        <f t="shared" si="1"/>
        <v>12.177000000000003</v>
      </c>
      <c r="D16" s="190">
        <f t="shared" si="0"/>
        <v>0.4870800000000002</v>
      </c>
      <c r="E16" s="130"/>
      <c r="G16" s="176"/>
    </row>
    <row r="17" spans="1:7" ht="19.5">
      <c r="A17" s="182" t="s">
        <v>171</v>
      </c>
      <c r="B17" s="183">
        <f>'Fert 4-8sem'!J18</f>
        <v>0</v>
      </c>
      <c r="C17" s="184">
        <f t="shared" si="1"/>
        <v>0</v>
      </c>
      <c r="D17" s="190">
        <f t="shared" si="0"/>
        <v>0</v>
      </c>
      <c r="E17" s="130"/>
      <c r="G17" s="176"/>
    </row>
    <row r="18" spans="1:7" ht="19.5">
      <c r="A18" s="182" t="s">
        <v>172</v>
      </c>
      <c r="B18" s="183">
        <f>'Fert 4-8sem'!J19</f>
        <v>130.5</v>
      </c>
      <c r="C18" s="184">
        <f t="shared" si="1"/>
        <v>39.15</v>
      </c>
      <c r="D18" s="190">
        <f t="shared" si="0"/>
        <v>1.566</v>
      </c>
      <c r="E18" s="130"/>
      <c r="G18" s="176"/>
    </row>
    <row r="19" spans="1:7" ht="19.5">
      <c r="A19" s="182" t="s">
        <v>173</v>
      </c>
      <c r="B19" s="183">
        <f>'Fert 4-8sem'!J20</f>
        <v>42.9</v>
      </c>
      <c r="C19" s="184">
        <f t="shared" si="1"/>
        <v>12.87</v>
      </c>
      <c r="D19" s="190">
        <f t="shared" si="0"/>
        <v>0.5147999999999999</v>
      </c>
      <c r="E19" s="191"/>
      <c r="G19" s="176"/>
    </row>
    <row r="20" spans="1:7" ht="15.75">
      <c r="A20" s="185"/>
      <c r="B20" s="28"/>
      <c r="C20" s="166"/>
      <c r="D20" s="186"/>
      <c r="E20" s="121"/>
      <c r="G20" s="176"/>
    </row>
    <row r="21" spans="1:7" ht="15.75">
      <c r="A21" s="185" t="s">
        <v>66</v>
      </c>
      <c r="B21" s="93" t="s">
        <v>30</v>
      </c>
      <c r="C21" s="148" t="s">
        <v>30</v>
      </c>
      <c r="D21" s="186" t="s">
        <v>109</v>
      </c>
      <c r="E21" s="121"/>
      <c r="G21" s="176"/>
    </row>
    <row r="22" spans="1:7" ht="15.75">
      <c r="A22" s="185" t="s">
        <v>107</v>
      </c>
      <c r="B22" s="22"/>
      <c r="C22" s="22"/>
      <c r="D22" s="186"/>
      <c r="E22" s="131"/>
      <c r="G22" s="176"/>
    </row>
    <row r="23" spans="1:7" ht="15.75">
      <c r="A23" s="109" t="s">
        <v>10</v>
      </c>
      <c r="B23" s="110">
        <f>'Fert 4-8sem'!C33</f>
        <v>0.1</v>
      </c>
      <c r="C23" s="22">
        <f>B23*300</f>
        <v>30</v>
      </c>
      <c r="D23" s="186">
        <f>C23*$D$7/1000</f>
        <v>1.2</v>
      </c>
      <c r="E23" s="130"/>
      <c r="G23" s="176"/>
    </row>
    <row r="24" spans="1:7" ht="15.75">
      <c r="A24" s="109" t="s">
        <v>12</v>
      </c>
      <c r="B24" s="110">
        <f>'Fert 4-8sem'!D33</f>
        <v>0.07300000000000001</v>
      </c>
      <c r="C24" s="22">
        <f>B24*300</f>
        <v>21.900000000000002</v>
      </c>
      <c r="D24" s="186">
        <f>C24*$D$7/1000</f>
        <v>0.8760000000000001</v>
      </c>
      <c r="E24" s="130"/>
      <c r="G24" s="176"/>
    </row>
    <row r="25" spans="1:7" ht="15.75">
      <c r="A25" s="109" t="s">
        <v>14</v>
      </c>
      <c r="B25" s="110">
        <f>'Fert 4-8sem'!E33</f>
        <v>0.095</v>
      </c>
      <c r="C25" s="22">
        <f>B25*300</f>
        <v>28.5</v>
      </c>
      <c r="D25" s="186">
        <f>C25*$D$7/1000</f>
        <v>1.14</v>
      </c>
      <c r="E25" s="130"/>
      <c r="G25" s="176"/>
    </row>
    <row r="26" spans="1:7" ht="15.75">
      <c r="A26" s="109" t="s">
        <v>16</v>
      </c>
      <c r="B26" s="110">
        <f>'Fert 4-8sem'!F33</f>
        <v>0.1</v>
      </c>
      <c r="C26" s="22">
        <f>B26*300</f>
        <v>30</v>
      </c>
      <c r="D26" s="186">
        <f>C26*$D$7/1000</f>
        <v>1.2</v>
      </c>
      <c r="E26" s="130"/>
      <c r="G26" s="176"/>
    </row>
    <row r="27" spans="1:7" ht="16.5" thickBot="1">
      <c r="A27" s="111" t="s">
        <v>18</v>
      </c>
      <c r="B27" s="112">
        <f>'Fert 4-8sem'!G33</f>
        <v>0.1</v>
      </c>
      <c r="C27" s="22">
        <f>B27*300</f>
        <v>30</v>
      </c>
      <c r="D27" s="187">
        <f>C27*$D$7/1000</f>
        <v>1.2</v>
      </c>
      <c r="E27" s="132"/>
      <c r="G27" s="176"/>
    </row>
    <row r="28" spans="1:7" ht="13.5" thickBot="1">
      <c r="A28" s="70"/>
      <c r="B28" s="149"/>
      <c r="C28" s="149"/>
      <c r="D28" s="181"/>
      <c r="E28" s="70"/>
      <c r="G28" s="176"/>
    </row>
    <row r="29" spans="1:7" ht="15.75">
      <c r="A29" s="113" t="s">
        <v>67</v>
      </c>
      <c r="B29" s="30" t="s">
        <v>3</v>
      </c>
      <c r="C29" s="30" t="s">
        <v>95</v>
      </c>
      <c r="D29" s="189" t="s">
        <v>177</v>
      </c>
      <c r="E29" s="133"/>
      <c r="G29" s="176"/>
    </row>
    <row r="30" spans="1:7" ht="15.75">
      <c r="A30" s="40"/>
      <c r="B30" s="22"/>
      <c r="C30" s="22"/>
      <c r="D30" s="186"/>
      <c r="E30" s="131"/>
      <c r="G30" s="176"/>
    </row>
    <row r="31" spans="1:7" ht="19.5">
      <c r="A31" s="182" t="s">
        <v>174</v>
      </c>
      <c r="B31" s="183">
        <f>'Fert 4-8sem'!J17</f>
        <v>269.67</v>
      </c>
      <c r="C31" s="184">
        <f>B31*0.3</f>
        <v>80.901</v>
      </c>
      <c r="D31" s="190">
        <f>C31*$D$7/1000</f>
        <v>3.23604</v>
      </c>
      <c r="E31" s="130"/>
      <c r="G31" s="176"/>
    </row>
    <row r="32" spans="1:7" ht="19.5">
      <c r="A32" s="182" t="s">
        <v>175</v>
      </c>
      <c r="B32" s="183">
        <f>'Fert 4-8sem'!J14</f>
        <v>473.0400000000001</v>
      </c>
      <c r="C32" s="184">
        <f>B32*0.3</f>
        <v>141.912</v>
      </c>
      <c r="D32" s="190">
        <f>C32*$D$7/1000</f>
        <v>5.676480000000001</v>
      </c>
      <c r="E32" s="130"/>
      <c r="G32" s="176"/>
    </row>
    <row r="33" spans="1:5" ht="15.75">
      <c r="A33" s="185"/>
      <c r="B33" s="28"/>
      <c r="C33" s="107"/>
      <c r="D33" s="186"/>
      <c r="E33" s="130"/>
    </row>
    <row r="34" spans="1:5" ht="15.75">
      <c r="A34" s="185"/>
      <c r="B34" s="93" t="s">
        <v>30</v>
      </c>
      <c r="C34" s="93" t="s">
        <v>30</v>
      </c>
      <c r="D34" s="186" t="s">
        <v>109</v>
      </c>
      <c r="E34" s="130"/>
    </row>
    <row r="35" spans="1:5" ht="16.5" thickBot="1">
      <c r="A35" s="188" t="s">
        <v>108</v>
      </c>
      <c r="B35" s="112">
        <f>'Fert 4-8sem'!B33</f>
        <v>0.495</v>
      </c>
      <c r="C35" s="45">
        <f>B35*300</f>
        <v>148.5</v>
      </c>
      <c r="D35" s="187">
        <f>C35*$D$7/1000</f>
        <v>5.94</v>
      </c>
      <c r="E35" s="132"/>
    </row>
    <row r="36" spans="2:4" ht="13.5" thickBot="1">
      <c r="B36" s="2"/>
      <c r="C36" s="2"/>
      <c r="D36" s="5"/>
    </row>
    <row r="37" spans="1:4" ht="12.75">
      <c r="A37" s="113" t="s">
        <v>70</v>
      </c>
      <c r="B37" s="30"/>
      <c r="C37" s="30"/>
      <c r="D37" s="128"/>
    </row>
    <row r="38" spans="1:4" ht="12.75">
      <c r="A38" s="40"/>
      <c r="B38" s="22" t="s">
        <v>164</v>
      </c>
      <c r="C38" s="22"/>
      <c r="D38" s="120"/>
    </row>
    <row r="39" spans="1:4" ht="20.25" thickBot="1">
      <c r="A39" s="188" t="s">
        <v>176</v>
      </c>
      <c r="B39" s="165" t="s">
        <v>163</v>
      </c>
      <c r="C39" s="180"/>
      <c r="D39" s="187">
        <f>B39*D7/100</f>
        <v>2</v>
      </c>
    </row>
    <row r="40" spans="2:3" ht="12.75">
      <c r="B40" s="2"/>
      <c r="C40" s="2"/>
    </row>
    <row r="41" spans="1:4" ht="12.75">
      <c r="A41" s="8" t="s">
        <v>72</v>
      </c>
      <c r="B41" s="19" t="s">
        <v>1</v>
      </c>
      <c r="D41" s="19" t="s">
        <v>24</v>
      </c>
    </row>
    <row r="42" spans="1:4" ht="12.75">
      <c r="A42" s="9"/>
      <c r="B42" s="13">
        <v>5.5</v>
      </c>
      <c r="D42" s="14">
        <v>2.5</v>
      </c>
    </row>
    <row r="43" spans="1:3" ht="12.75">
      <c r="A43" s="9"/>
      <c r="C43" s="13"/>
    </row>
    <row r="44" spans="1:3" ht="12.75">
      <c r="A44" s="9"/>
      <c r="C44" s="13"/>
    </row>
    <row r="45" spans="1:3" ht="12.75">
      <c r="A45" s="27"/>
      <c r="B45" s="2"/>
      <c r="C45" s="2"/>
    </row>
    <row r="47" ht="12.75">
      <c r="A47" s="27"/>
    </row>
    <row r="48" ht="12.75">
      <c r="A48" s="15"/>
    </row>
    <row r="49" ht="12.75">
      <c r="A49" s="15"/>
    </row>
    <row r="53" ht="12.75">
      <c r="A53" s="1" t="s">
        <v>99</v>
      </c>
    </row>
    <row r="54" ht="12.75">
      <c r="A54"/>
    </row>
  </sheetData>
  <mergeCells count="1">
    <mergeCell ref="B7:C7"/>
  </mergeCells>
  <conditionalFormatting sqref="D10:D35 D39">
    <cfRule type="cellIs" priority="1" dxfId="0" operator="lessThanOrEqual" stopIfTrue="1">
      <formula>0</formula>
    </cfRule>
  </conditionalFormatting>
  <printOptions horizontalCentered="1"/>
  <pageMargins left="0.4724409448818898" right="0.3937007874015748" top="0.5905511811023623" bottom="0.5905511811023623" header="0.31496062992125984" footer="0.31496062992125984"/>
  <pageSetup fitToHeight="1" fitToWidth="1" horizontalDpi="300" verticalDpi="300" orientation="portrait" paperSize="9" scale="89" r:id="rId3"/>
  <headerFooter alignWithMargins="0">
    <oddFooter>&amp;L&amp;"Arial,Normal"&amp;8VG/&amp;F/&amp;A&amp;RChâteauneuf - &amp;D</oddFooter>
  </headerFooter>
  <legacyDrawing r:id="rId2"/>
  <oleObjects>
    <oleObject progId="Word.Picture.8" shapeId="193905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zoomScale="114" zoomScaleNormal="114" workbookViewId="0" topLeftCell="A1">
      <selection activeCell="E18" sqref="E18"/>
    </sheetView>
  </sheetViews>
  <sheetFormatPr defaultColWidth="11.421875" defaultRowHeight="12.75"/>
  <sheetData>
    <row r="1" spans="1:10" ht="13.5" thickBot="1">
      <c r="A1" s="12" t="s">
        <v>217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04"/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72" t="s">
        <v>0</v>
      </c>
      <c r="H2" s="1"/>
      <c r="I2" s="1"/>
      <c r="J2" s="1"/>
    </row>
    <row r="3" spans="1:10" ht="12.75">
      <c r="A3" s="136" t="s">
        <v>1</v>
      </c>
      <c r="B3" s="22">
        <v>5.5</v>
      </c>
      <c r="C3" s="22"/>
      <c r="D3" s="42"/>
      <c r="E3" s="21"/>
      <c r="F3" s="21"/>
      <c r="G3" s="43"/>
      <c r="H3" s="1"/>
      <c r="I3" s="1"/>
      <c r="J3" s="1"/>
    </row>
    <row r="4" spans="1:10" ht="15" thickBot="1">
      <c r="A4" s="137" t="s">
        <v>115</v>
      </c>
      <c r="B4" s="45">
        <v>1.7</v>
      </c>
      <c r="C4" s="46"/>
      <c r="D4" s="47"/>
      <c r="E4" s="37"/>
      <c r="F4" s="37"/>
      <c r="G4" s="48"/>
      <c r="H4" s="1"/>
      <c r="I4" s="1"/>
      <c r="J4" s="1"/>
    </row>
    <row r="5" spans="1:11" ht="12.75">
      <c r="A5" s="29"/>
      <c r="B5" s="80" t="s">
        <v>3</v>
      </c>
      <c r="C5" s="80" t="s">
        <v>4</v>
      </c>
      <c r="D5" s="138" t="s">
        <v>5</v>
      </c>
      <c r="E5" s="139"/>
      <c r="F5" s="80" t="s">
        <v>3</v>
      </c>
      <c r="G5" s="140" t="s">
        <v>112</v>
      </c>
      <c r="H5" s="19"/>
      <c r="I5" s="19"/>
      <c r="J5" s="135"/>
      <c r="K5" s="135"/>
    </row>
    <row r="6" spans="1:11" ht="14.25">
      <c r="A6" s="136" t="s">
        <v>111</v>
      </c>
      <c r="B6" s="28">
        <f>C6*62.004</f>
        <v>666.543</v>
      </c>
      <c r="C6" s="28">
        <v>10.75</v>
      </c>
      <c r="D6" s="32">
        <f>C6</f>
        <v>10.75</v>
      </c>
      <c r="E6" s="31" t="s">
        <v>8</v>
      </c>
      <c r="F6" s="35">
        <f>G6*0.0558</f>
        <v>0.8370000000000001</v>
      </c>
      <c r="G6" s="32">
        <v>15</v>
      </c>
      <c r="H6" s="19" t="s">
        <v>73</v>
      </c>
      <c r="I6" s="19" t="s">
        <v>78</v>
      </c>
      <c r="J6" s="135" t="s">
        <v>113</v>
      </c>
      <c r="K6" s="135" t="s">
        <v>114</v>
      </c>
    </row>
    <row r="7" spans="1:12" ht="14.25">
      <c r="A7" s="136" t="s">
        <v>102</v>
      </c>
      <c r="B7" s="28">
        <f>C7*96.986</f>
        <v>121.2325</v>
      </c>
      <c r="C7" s="28">
        <v>1.25</v>
      </c>
      <c r="D7" s="32">
        <f>C7</f>
        <v>1.25</v>
      </c>
      <c r="E7" s="31" t="s">
        <v>10</v>
      </c>
      <c r="F7" s="35">
        <f>G7*0.0549</f>
        <v>0.5489999999999999</v>
      </c>
      <c r="G7" s="32">
        <v>10</v>
      </c>
      <c r="H7" s="3">
        <f>D10/(D11+D12)</f>
        <v>0.8666666666666667</v>
      </c>
      <c r="I7" s="3">
        <f>D10/D11</f>
        <v>1.1818181818181819</v>
      </c>
      <c r="J7" s="3">
        <f>D6+D7+D8</f>
        <v>15</v>
      </c>
      <c r="K7" s="3">
        <f>D9+D10+D11+D12</f>
        <v>15</v>
      </c>
      <c r="L7" t="s">
        <v>220</v>
      </c>
    </row>
    <row r="8" spans="1:12" ht="14.25">
      <c r="A8" s="136" t="s">
        <v>103</v>
      </c>
      <c r="B8" s="28">
        <f>C8*96.056</f>
        <v>144.084</v>
      </c>
      <c r="C8" s="28">
        <v>1.5</v>
      </c>
      <c r="D8" s="32">
        <f>C8*2</f>
        <v>3</v>
      </c>
      <c r="E8" s="31" t="s">
        <v>12</v>
      </c>
      <c r="F8" s="35">
        <f>G8*0.0654</f>
        <v>0.2616</v>
      </c>
      <c r="G8" s="32">
        <v>4</v>
      </c>
      <c r="H8" s="3" t="e">
        <f>C25/(C26+C27)</f>
        <v>#DIV/0!</v>
      </c>
      <c r="I8" s="3" t="e">
        <f>C25/C26</f>
        <v>#DIV/0!</v>
      </c>
      <c r="J8" s="3">
        <f>C21+C22+C23</f>
        <v>0</v>
      </c>
      <c r="K8" s="3">
        <f>C24+C25+C26+C27</f>
        <v>0</v>
      </c>
      <c r="L8" t="s">
        <v>221</v>
      </c>
    </row>
    <row r="9" spans="1:12" ht="14.25">
      <c r="A9" s="136" t="s">
        <v>100</v>
      </c>
      <c r="B9" s="28">
        <f>C9*18.039</f>
        <v>18.039</v>
      </c>
      <c r="C9" s="28">
        <v>1</v>
      </c>
      <c r="D9" s="32">
        <f>C9</f>
        <v>1</v>
      </c>
      <c r="E9" s="31" t="s">
        <v>14</v>
      </c>
      <c r="F9" s="35">
        <f>G9*0.0108</f>
        <v>0.21600000000000003</v>
      </c>
      <c r="G9" s="32">
        <v>20</v>
      </c>
      <c r="H9" s="3" t="e">
        <f>I25/(I26+I27)</f>
        <v>#DIV/0!</v>
      </c>
      <c r="I9" s="3" t="e">
        <f>I25/I26</f>
        <v>#DIV/0!</v>
      </c>
      <c r="J9" s="3">
        <f>I21+I22+I23</f>
        <v>0</v>
      </c>
      <c r="K9" s="3">
        <f>I24+I25+I26+I27</f>
        <v>0</v>
      </c>
      <c r="L9" t="s">
        <v>222</v>
      </c>
    </row>
    <row r="10" spans="1:10" ht="12.75">
      <c r="A10" s="136" t="s">
        <v>15</v>
      </c>
      <c r="B10" s="28">
        <f>C10*39.102</f>
        <v>254.16299999999998</v>
      </c>
      <c r="C10" s="28">
        <v>6.5</v>
      </c>
      <c r="D10" s="32">
        <f>C10</f>
        <v>6.5</v>
      </c>
      <c r="E10" s="31" t="s">
        <v>16</v>
      </c>
      <c r="F10" s="35">
        <f>G10*0.0635</f>
        <v>0.047625</v>
      </c>
      <c r="G10" s="32">
        <v>0.75</v>
      </c>
      <c r="H10" s="22" t="s">
        <v>79</v>
      </c>
      <c r="I10" s="1"/>
      <c r="J10" s="1"/>
    </row>
    <row r="11" spans="1:10" ht="12.75">
      <c r="A11" s="136" t="s">
        <v>17</v>
      </c>
      <c r="B11" s="28">
        <f>C11*40.08</f>
        <v>110.22</v>
      </c>
      <c r="C11" s="28">
        <v>2.75</v>
      </c>
      <c r="D11" s="32">
        <f>C11*2</f>
        <v>5.5</v>
      </c>
      <c r="E11" s="31" t="s">
        <v>18</v>
      </c>
      <c r="F11" s="35">
        <f>G11*0.0959</f>
        <v>0.04795</v>
      </c>
      <c r="G11" s="32">
        <v>0.5</v>
      </c>
      <c r="H11" s="3">
        <f>SUM(C6:C12)</f>
        <v>24.75</v>
      </c>
      <c r="I11" s="1"/>
      <c r="J11" s="1"/>
    </row>
    <row r="12" spans="1:10" ht="13.5" thickBot="1">
      <c r="A12" s="137" t="s">
        <v>19</v>
      </c>
      <c r="B12" s="46">
        <f>C12*24.305</f>
        <v>24.305</v>
      </c>
      <c r="C12" s="46">
        <v>1</v>
      </c>
      <c r="D12" s="52">
        <f>C12*2</f>
        <v>2</v>
      </c>
      <c r="E12" s="36"/>
      <c r="F12" s="37"/>
      <c r="G12" s="38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3" ht="12.75">
      <c r="A14" s="139" t="s">
        <v>20</v>
      </c>
      <c r="B14" s="141"/>
      <c r="C14" s="141">
        <f>B14</f>
        <v>0</v>
      </c>
      <c r="D14" s="72"/>
      <c r="E14" s="2"/>
      <c r="F14" s="1"/>
      <c r="G14" s="139" t="s">
        <v>20</v>
      </c>
      <c r="H14" s="141"/>
      <c r="I14" s="141">
        <f>H14</f>
        <v>0</v>
      </c>
      <c r="J14" s="72"/>
      <c r="K14" s="2"/>
      <c r="L14" s="411"/>
      <c r="M14" s="412"/>
    </row>
    <row r="15" spans="1:13" ht="12.75">
      <c r="A15" s="136" t="s">
        <v>21</v>
      </c>
      <c r="B15" s="142"/>
      <c r="C15" s="142">
        <f>B15</f>
        <v>0</v>
      </c>
      <c r="D15" s="41"/>
      <c r="E15" s="2"/>
      <c r="F15" s="1"/>
      <c r="G15" s="136" t="s">
        <v>21</v>
      </c>
      <c r="H15" s="142" t="s">
        <v>223</v>
      </c>
      <c r="I15" s="142" t="str">
        <f>H15</f>
        <v>S91</v>
      </c>
      <c r="J15" s="41"/>
      <c r="K15" s="2"/>
      <c r="L15" s="413"/>
      <c r="M15" s="414"/>
    </row>
    <row r="16" spans="1:13" ht="12.75">
      <c r="A16" s="136" t="s">
        <v>22</v>
      </c>
      <c r="B16" s="143">
        <v>38806</v>
      </c>
      <c r="C16" s="143">
        <f>B16</f>
        <v>38806</v>
      </c>
      <c r="D16" s="144"/>
      <c r="E16" s="4"/>
      <c r="F16" s="1"/>
      <c r="G16" s="136" t="s">
        <v>22</v>
      </c>
      <c r="H16" s="143">
        <v>39595</v>
      </c>
      <c r="I16" s="143">
        <f>H16</f>
        <v>39595</v>
      </c>
      <c r="J16" s="144"/>
      <c r="K16" s="4"/>
      <c r="L16" s="413"/>
      <c r="M16" s="414"/>
    </row>
    <row r="17" spans="1:13" ht="12.75">
      <c r="A17" s="136"/>
      <c r="B17" s="22"/>
      <c r="C17" s="22"/>
      <c r="D17" s="41" t="s">
        <v>23</v>
      </c>
      <c r="E17" s="2"/>
      <c r="F17" s="2"/>
      <c r="G17" s="136"/>
      <c r="H17" s="22"/>
      <c r="I17" s="22"/>
      <c r="J17" s="41" t="s">
        <v>23</v>
      </c>
      <c r="K17" s="2"/>
      <c r="L17" s="426" t="s">
        <v>224</v>
      </c>
      <c r="M17" s="427"/>
    </row>
    <row r="18" spans="1:13" ht="12.75">
      <c r="A18" s="136" t="s">
        <v>1</v>
      </c>
      <c r="B18" s="142">
        <v>8.13</v>
      </c>
      <c r="C18" s="22"/>
      <c r="D18" s="56"/>
      <c r="E18" s="2"/>
      <c r="F18" s="3"/>
      <c r="G18" s="136" t="s">
        <v>1</v>
      </c>
      <c r="H18" s="142">
        <v>5.9</v>
      </c>
      <c r="I18" s="22"/>
      <c r="J18" s="56"/>
      <c r="K18" s="2"/>
      <c r="L18" s="413"/>
      <c r="M18" s="414"/>
    </row>
    <row r="19" spans="1:13" ht="12.75">
      <c r="A19" s="136" t="s">
        <v>24</v>
      </c>
      <c r="B19" s="142">
        <v>0.364</v>
      </c>
      <c r="C19" s="22"/>
      <c r="D19" s="108">
        <f>(B19-$B$4)/$B$4*100</f>
        <v>-78.58823529411764</v>
      </c>
      <c r="E19" s="2"/>
      <c r="F19" s="3"/>
      <c r="G19" s="136" t="s">
        <v>24</v>
      </c>
      <c r="H19" s="142">
        <v>1.874</v>
      </c>
      <c r="I19" s="22"/>
      <c r="J19" s="108">
        <f>(H19-$B$4)/$B$4*100</f>
        <v>10.235294117647069</v>
      </c>
      <c r="K19" s="2"/>
      <c r="L19" s="413"/>
      <c r="M19" s="414"/>
    </row>
    <row r="20" spans="1:13" ht="12.75">
      <c r="A20" s="136"/>
      <c r="B20" s="22" t="s">
        <v>3</v>
      </c>
      <c r="C20" s="22" t="s">
        <v>5</v>
      </c>
      <c r="D20" s="108"/>
      <c r="E20" s="2"/>
      <c r="F20" s="2"/>
      <c r="G20" s="136"/>
      <c r="H20" s="22" t="s">
        <v>3</v>
      </c>
      <c r="I20" s="22" t="s">
        <v>5</v>
      </c>
      <c r="J20" s="108"/>
      <c r="K20" s="2"/>
      <c r="L20" s="413"/>
      <c r="M20" s="414"/>
    </row>
    <row r="21" spans="1:13" ht="14.25">
      <c r="A21" s="136" t="s">
        <v>111</v>
      </c>
      <c r="B21" s="142"/>
      <c r="C21" s="28">
        <f>B21*1/62.004</f>
        <v>0</v>
      </c>
      <c r="D21" s="108">
        <f>(C21-$D$6)/$D$6*100</f>
        <v>-100</v>
      </c>
      <c r="E21" s="3" t="str">
        <f aca="true" t="shared" si="0" ref="E21:E37">IF(D21&gt;25,"Accumulation",IF(D21&lt;-25,"Manque"," "))</f>
        <v>Manque</v>
      </c>
      <c r="F21" s="3"/>
      <c r="G21" s="136" t="s">
        <v>111</v>
      </c>
      <c r="H21" s="142"/>
      <c r="I21" s="28">
        <f>H21*1/62.004</f>
        <v>0</v>
      </c>
      <c r="J21" s="108">
        <f>(I21-$D$6)/$D$6*100</f>
        <v>-100</v>
      </c>
      <c r="K21" s="3" t="str">
        <f aca="true" t="shared" si="1" ref="K21:K36">IF(J21&gt;25,"Accumulation",IF(J21&lt;-25,"Manque"," "))</f>
        <v>Manque</v>
      </c>
      <c r="L21" s="415">
        <f>(I21-C21)/D6*100</f>
        <v>0</v>
      </c>
      <c r="M21" s="414" t="str">
        <f aca="true" t="shared" si="2" ref="M21:M36">IF(L21&gt;25,"Accumulation",IF(L21&lt;-25,"Consommation"," "))</f>
        <v> </v>
      </c>
    </row>
    <row r="22" spans="1:13" ht="14.25">
      <c r="A22" s="136" t="s">
        <v>102</v>
      </c>
      <c r="B22" s="142"/>
      <c r="C22" s="28">
        <f>B22*0.01053</f>
        <v>0</v>
      </c>
      <c r="D22" s="108">
        <f>(C22-$D$7)/$D$7*100</f>
        <v>-100</v>
      </c>
      <c r="E22" s="3" t="str">
        <f t="shared" si="0"/>
        <v>Manque</v>
      </c>
      <c r="F22" s="3"/>
      <c r="G22" s="136" t="s">
        <v>102</v>
      </c>
      <c r="H22" s="142"/>
      <c r="I22" s="28">
        <f>H22*0.01053</f>
        <v>0</v>
      </c>
      <c r="J22" s="108">
        <f>(I22-$D$7)/$D$7*100</f>
        <v>-100</v>
      </c>
      <c r="K22" s="3" t="str">
        <f t="shared" si="1"/>
        <v>Manque</v>
      </c>
      <c r="L22" s="415">
        <f aca="true" t="shared" si="3" ref="L22:L27">(I22-C22)/D7*100</f>
        <v>0</v>
      </c>
      <c r="M22" s="414" t="str">
        <f t="shared" si="2"/>
        <v> </v>
      </c>
    </row>
    <row r="23" spans="1:13" ht="14.25">
      <c r="A23" s="136" t="s">
        <v>103</v>
      </c>
      <c r="B23" s="142"/>
      <c r="C23" s="28">
        <f>B23/96.056*2</f>
        <v>0</v>
      </c>
      <c r="D23" s="108">
        <f>(C23-$D$8)/$D$8*100</f>
        <v>-100</v>
      </c>
      <c r="E23" s="3" t="str">
        <f t="shared" si="0"/>
        <v>Manque</v>
      </c>
      <c r="F23" s="3"/>
      <c r="G23" s="136" t="s">
        <v>103</v>
      </c>
      <c r="H23" s="142"/>
      <c r="I23" s="28">
        <f>H23/96.056*2</f>
        <v>0</v>
      </c>
      <c r="J23" s="108">
        <f>(I23-$D$8)/$D$8*100</f>
        <v>-100</v>
      </c>
      <c r="K23" s="3" t="str">
        <f t="shared" si="1"/>
        <v>Manque</v>
      </c>
      <c r="L23" s="415">
        <f t="shared" si="3"/>
        <v>0</v>
      </c>
      <c r="M23" s="414" t="str">
        <f t="shared" si="2"/>
        <v> </v>
      </c>
    </row>
    <row r="24" spans="1:13" ht="14.25">
      <c r="A24" s="136" t="s">
        <v>100</v>
      </c>
      <c r="B24" s="142"/>
      <c r="C24" s="28">
        <f>B24/18.039</f>
        <v>0</v>
      </c>
      <c r="D24" s="108">
        <f>(C24-$D$9)/$D$9*100</f>
        <v>-100</v>
      </c>
      <c r="E24" s="3" t="str">
        <f t="shared" si="0"/>
        <v>Manque</v>
      </c>
      <c r="F24" s="3"/>
      <c r="G24" s="136" t="s">
        <v>100</v>
      </c>
      <c r="H24" s="142"/>
      <c r="I24" s="28">
        <f>H24/18.039</f>
        <v>0</v>
      </c>
      <c r="J24" s="108">
        <f>(I24-$D$9)/$D$9*100</f>
        <v>-100</v>
      </c>
      <c r="K24" s="3" t="str">
        <f t="shared" si="1"/>
        <v>Manque</v>
      </c>
      <c r="L24" s="415">
        <f t="shared" si="3"/>
        <v>0</v>
      </c>
      <c r="M24" s="414" t="str">
        <f t="shared" si="2"/>
        <v> </v>
      </c>
    </row>
    <row r="25" spans="1:13" ht="12.75">
      <c r="A25" s="136" t="s">
        <v>15</v>
      </c>
      <c r="B25" s="142"/>
      <c r="C25" s="28">
        <f>B25/39.102</f>
        <v>0</v>
      </c>
      <c r="D25" s="108">
        <f>(C25-$D$10)/$D$10*100</f>
        <v>-100</v>
      </c>
      <c r="E25" s="3" t="str">
        <f t="shared" si="0"/>
        <v>Manque</v>
      </c>
      <c r="F25" s="3"/>
      <c r="G25" s="136" t="s">
        <v>15</v>
      </c>
      <c r="H25" s="142"/>
      <c r="I25" s="28">
        <f>H25/39.102</f>
        <v>0</v>
      </c>
      <c r="J25" s="108">
        <f>(I25-$D$10)/$D$10*100</f>
        <v>-100</v>
      </c>
      <c r="K25" s="3" t="str">
        <f t="shared" si="1"/>
        <v>Manque</v>
      </c>
      <c r="L25" s="415">
        <f t="shared" si="3"/>
        <v>0</v>
      </c>
      <c r="M25" s="414" t="str">
        <f t="shared" si="2"/>
        <v> </v>
      </c>
    </row>
    <row r="26" spans="1:13" ht="12.75">
      <c r="A26" s="136" t="s">
        <v>17</v>
      </c>
      <c r="B26" s="142"/>
      <c r="C26" s="28">
        <f>B26/40.08*2</f>
        <v>0</v>
      </c>
      <c r="D26" s="108">
        <f>(C26-$D$11)/$D$11*100</f>
        <v>-100</v>
      </c>
      <c r="E26" s="3" t="str">
        <f t="shared" si="0"/>
        <v>Manque</v>
      </c>
      <c r="F26" s="3"/>
      <c r="G26" s="136" t="s">
        <v>17</v>
      </c>
      <c r="H26" s="142"/>
      <c r="I26" s="28">
        <f>H26/40.08*2</f>
        <v>0</v>
      </c>
      <c r="J26" s="108">
        <f>(I26-$D$11)/$D$11*100</f>
        <v>-100</v>
      </c>
      <c r="K26" s="3" t="str">
        <f t="shared" si="1"/>
        <v>Manque</v>
      </c>
      <c r="L26" s="415">
        <f t="shared" si="3"/>
        <v>0</v>
      </c>
      <c r="M26" s="414" t="str">
        <f t="shared" si="2"/>
        <v> </v>
      </c>
    </row>
    <row r="27" spans="1:13" ht="12.75">
      <c r="A27" s="136" t="s">
        <v>19</v>
      </c>
      <c r="B27" s="142"/>
      <c r="C27" s="28">
        <f>B27/24.305*2</f>
        <v>0</v>
      </c>
      <c r="D27" s="108">
        <f>(C27-$D$12)/$D$12*100</f>
        <v>-100</v>
      </c>
      <c r="E27" s="3" t="str">
        <f t="shared" si="0"/>
        <v>Manque</v>
      </c>
      <c r="F27" s="3"/>
      <c r="G27" s="136" t="s">
        <v>19</v>
      </c>
      <c r="H27" s="142"/>
      <c r="I27" s="28">
        <f>H27/24.305*2</f>
        <v>0</v>
      </c>
      <c r="J27" s="108">
        <f>(I27-$D$12)/$D$12*100</f>
        <v>-100</v>
      </c>
      <c r="K27" s="3" t="str">
        <f t="shared" si="1"/>
        <v>Manque</v>
      </c>
      <c r="L27" s="415">
        <f t="shared" si="3"/>
        <v>0</v>
      </c>
      <c r="M27" s="414" t="str">
        <f t="shared" si="2"/>
        <v> </v>
      </c>
    </row>
    <row r="28" spans="1:13" ht="12.75">
      <c r="A28" s="136" t="s">
        <v>25</v>
      </c>
      <c r="B28" s="142"/>
      <c r="C28" s="28">
        <f>B28/22.99</f>
        <v>0</v>
      </c>
      <c r="D28" s="108"/>
      <c r="E28" s="3" t="str">
        <f t="shared" si="0"/>
        <v> </v>
      </c>
      <c r="F28" s="3"/>
      <c r="G28" s="136" t="s">
        <v>25</v>
      </c>
      <c r="H28" s="142"/>
      <c r="I28" s="28">
        <f>H28/22.99</f>
        <v>0</v>
      </c>
      <c r="J28" s="108"/>
      <c r="K28" s="3" t="str">
        <f t="shared" si="1"/>
        <v> </v>
      </c>
      <c r="L28" s="415"/>
      <c r="M28" s="414" t="str">
        <f t="shared" si="2"/>
        <v> </v>
      </c>
    </row>
    <row r="29" spans="1:13" ht="12.75">
      <c r="A29" s="136" t="s">
        <v>26</v>
      </c>
      <c r="B29" s="142"/>
      <c r="C29" s="28">
        <f>B29/35.453</f>
        <v>0</v>
      </c>
      <c r="D29" s="108"/>
      <c r="E29" s="3" t="str">
        <f t="shared" si="0"/>
        <v> </v>
      </c>
      <c r="F29" s="3"/>
      <c r="G29" s="136" t="s">
        <v>26</v>
      </c>
      <c r="H29" s="142"/>
      <c r="I29" s="28">
        <f>H29/35.453</f>
        <v>0</v>
      </c>
      <c r="J29" s="108"/>
      <c r="K29" s="3" t="str">
        <f t="shared" si="1"/>
        <v> </v>
      </c>
      <c r="L29" s="415"/>
      <c r="M29" s="414" t="str">
        <f t="shared" si="2"/>
        <v> </v>
      </c>
    </row>
    <row r="30" spans="1:13" ht="14.25">
      <c r="A30" s="136" t="s">
        <v>104</v>
      </c>
      <c r="B30" s="142"/>
      <c r="C30" s="28">
        <f>B30/61.016</f>
        <v>0</v>
      </c>
      <c r="D30" s="108"/>
      <c r="E30" s="3" t="str">
        <f t="shared" si="0"/>
        <v> </v>
      </c>
      <c r="F30" s="3"/>
      <c r="G30" s="136" t="s">
        <v>104</v>
      </c>
      <c r="H30" s="142"/>
      <c r="I30" s="28">
        <f>H30/61.016</f>
        <v>0</v>
      </c>
      <c r="J30" s="108"/>
      <c r="K30" s="3" t="str">
        <f t="shared" si="1"/>
        <v> </v>
      </c>
      <c r="L30" s="415"/>
      <c r="M30" s="414" t="str">
        <f t="shared" si="2"/>
        <v> </v>
      </c>
    </row>
    <row r="31" spans="1:13" ht="12.75">
      <c r="A31" s="136"/>
      <c r="B31" s="22" t="s">
        <v>3</v>
      </c>
      <c r="C31" s="145" t="s">
        <v>27</v>
      </c>
      <c r="D31" s="108"/>
      <c r="E31" s="3" t="str">
        <f t="shared" si="0"/>
        <v> </v>
      </c>
      <c r="F31" s="2"/>
      <c r="G31" s="136"/>
      <c r="H31" s="22" t="s">
        <v>3</v>
      </c>
      <c r="I31" s="145" t="s">
        <v>27</v>
      </c>
      <c r="J31" s="108"/>
      <c r="K31" s="3" t="str">
        <f t="shared" si="1"/>
        <v> </v>
      </c>
      <c r="L31" s="415"/>
      <c r="M31" s="414" t="str">
        <f t="shared" si="2"/>
        <v> </v>
      </c>
    </row>
    <row r="32" spans="1:13" ht="12.75">
      <c r="A32" s="136" t="s">
        <v>8</v>
      </c>
      <c r="B32" s="142"/>
      <c r="C32" s="28">
        <f>B32/0.0558</f>
        <v>0</v>
      </c>
      <c r="D32" s="108">
        <f>(C32-$G$6)/$G$6*100</f>
        <v>-100</v>
      </c>
      <c r="E32" s="3" t="str">
        <f t="shared" si="0"/>
        <v>Manque</v>
      </c>
      <c r="F32" s="3"/>
      <c r="G32" s="136" t="s">
        <v>8</v>
      </c>
      <c r="H32" s="142"/>
      <c r="I32" s="28">
        <f>H32/0.0558</f>
        <v>0</v>
      </c>
      <c r="J32" s="108">
        <f>(I32-$G$6)/$G$6*100</f>
        <v>-100</v>
      </c>
      <c r="K32" s="3" t="str">
        <f t="shared" si="1"/>
        <v>Manque</v>
      </c>
      <c r="L32" s="415">
        <f>(I32-C32)/G6*100</f>
        <v>0</v>
      </c>
      <c r="M32" s="414" t="str">
        <f t="shared" si="2"/>
        <v> </v>
      </c>
    </row>
    <row r="33" spans="1:13" ht="12.75">
      <c r="A33" s="136" t="s">
        <v>10</v>
      </c>
      <c r="B33" s="142"/>
      <c r="C33" s="28">
        <f>B33/0.0549</f>
        <v>0</v>
      </c>
      <c r="D33" s="108">
        <f>(C33-$G$7)/$G$7*100</f>
        <v>-100</v>
      </c>
      <c r="E33" s="3" t="str">
        <f t="shared" si="0"/>
        <v>Manque</v>
      </c>
      <c r="F33" s="3"/>
      <c r="G33" s="136" t="s">
        <v>10</v>
      </c>
      <c r="H33" s="142"/>
      <c r="I33" s="28">
        <f>H33/0.0549</f>
        <v>0</v>
      </c>
      <c r="J33" s="108">
        <f>(I33-$G$7)/$G$7*100</f>
        <v>-100</v>
      </c>
      <c r="K33" s="3" t="str">
        <f t="shared" si="1"/>
        <v>Manque</v>
      </c>
      <c r="L33" s="415">
        <f>(I33-C33)/G7*100</f>
        <v>0</v>
      </c>
      <c r="M33" s="414" t="str">
        <f t="shared" si="2"/>
        <v> </v>
      </c>
    </row>
    <row r="34" spans="1:13" ht="12.75">
      <c r="A34" s="136" t="s">
        <v>12</v>
      </c>
      <c r="B34" s="142"/>
      <c r="C34" s="28">
        <f>B34/0.0654</f>
        <v>0</v>
      </c>
      <c r="D34" s="108">
        <f>(C34-$G$8)/$G$8*100</f>
        <v>-100</v>
      </c>
      <c r="E34" s="3" t="str">
        <f t="shared" si="0"/>
        <v>Manque</v>
      </c>
      <c r="F34" s="3"/>
      <c r="G34" s="136" t="s">
        <v>12</v>
      </c>
      <c r="H34" s="142"/>
      <c r="I34" s="28">
        <f>H34/0.0654</f>
        <v>0</v>
      </c>
      <c r="J34" s="108">
        <f>(I34-$G$8)/$G$8*100</f>
        <v>-100</v>
      </c>
      <c r="K34" s="3" t="str">
        <f t="shared" si="1"/>
        <v>Manque</v>
      </c>
      <c r="L34" s="415">
        <f>(I34-C34)/G8*100</f>
        <v>0</v>
      </c>
      <c r="M34" s="414" t="str">
        <f t="shared" si="2"/>
        <v> </v>
      </c>
    </row>
    <row r="35" spans="1:13" ht="12.75">
      <c r="A35" s="136" t="s">
        <v>14</v>
      </c>
      <c r="B35" s="142"/>
      <c r="C35" s="28">
        <f>B35/0.0108</f>
        <v>0</v>
      </c>
      <c r="D35" s="108">
        <f>(C35-$G$9)/$G$9*100</f>
        <v>-100</v>
      </c>
      <c r="E35" s="3" t="str">
        <f t="shared" si="0"/>
        <v>Manque</v>
      </c>
      <c r="F35" s="3"/>
      <c r="G35" s="136" t="s">
        <v>14</v>
      </c>
      <c r="H35" s="142"/>
      <c r="I35" s="28">
        <f>H35/0.0108</f>
        <v>0</v>
      </c>
      <c r="J35" s="108">
        <f>(I35-$G$9)/$G$9*100</f>
        <v>-100</v>
      </c>
      <c r="K35" s="3" t="str">
        <f t="shared" si="1"/>
        <v>Manque</v>
      </c>
      <c r="L35" s="415">
        <f>(I35-C35)/G9*100</f>
        <v>0</v>
      </c>
      <c r="M35" s="414" t="str">
        <f t="shared" si="2"/>
        <v> </v>
      </c>
    </row>
    <row r="36" spans="1:13" ht="12.75">
      <c r="A36" s="136" t="s">
        <v>16</v>
      </c>
      <c r="B36" s="142"/>
      <c r="C36" s="28">
        <f>B36/0.0635</f>
        <v>0</v>
      </c>
      <c r="D36" s="108">
        <f>(C36-$G$10)/$G$10*100</f>
        <v>-100</v>
      </c>
      <c r="E36" s="3" t="str">
        <f t="shared" si="0"/>
        <v>Manque</v>
      </c>
      <c r="F36" s="3"/>
      <c r="G36" s="136" t="s">
        <v>16</v>
      </c>
      <c r="H36" s="142"/>
      <c r="I36" s="28">
        <f>H36/0.0635</f>
        <v>0</v>
      </c>
      <c r="J36" s="108">
        <f>(I36-$G$10)/$G$10*100</f>
        <v>-100</v>
      </c>
      <c r="K36" s="3" t="str">
        <f t="shared" si="1"/>
        <v>Manque</v>
      </c>
      <c r="L36" s="415">
        <f>(I36-C36)/G10*100</f>
        <v>0</v>
      </c>
      <c r="M36" s="414" t="str">
        <f t="shared" si="2"/>
        <v> </v>
      </c>
    </row>
    <row r="37" spans="1:13" ht="12.75">
      <c r="A37" s="136" t="s">
        <v>18</v>
      </c>
      <c r="B37" s="22"/>
      <c r="C37" s="28"/>
      <c r="D37" s="108"/>
      <c r="E37" s="3" t="str">
        <f t="shared" si="0"/>
        <v> </v>
      </c>
      <c r="F37" s="3"/>
      <c r="G37" s="136" t="s">
        <v>18</v>
      </c>
      <c r="H37" s="22"/>
      <c r="I37" s="28"/>
      <c r="J37" s="108"/>
      <c r="K37" s="3"/>
      <c r="L37" s="413"/>
      <c r="M37" s="414"/>
    </row>
    <row r="38" spans="1:13" ht="13.5" thickBot="1">
      <c r="A38" s="36"/>
      <c r="B38" s="37"/>
      <c r="C38" s="37"/>
      <c r="D38" s="57"/>
      <c r="E38" s="1"/>
      <c r="F38" s="1"/>
      <c r="G38" s="36"/>
      <c r="H38" s="37"/>
      <c r="I38" s="37"/>
      <c r="J38" s="57"/>
      <c r="K38" s="1"/>
      <c r="L38" s="416"/>
      <c r="M38" s="417"/>
    </row>
    <row r="39" spans="1:11" ht="13.5" thickBot="1">
      <c r="A39" s="1"/>
      <c r="B39" s="1"/>
      <c r="C39" s="146" t="s">
        <v>80</v>
      </c>
      <c r="D39" s="1"/>
      <c r="E39" s="1"/>
      <c r="F39" s="1"/>
      <c r="G39" s="1"/>
      <c r="H39" s="1"/>
      <c r="I39" s="146" t="s">
        <v>80</v>
      </c>
      <c r="J39" s="1"/>
      <c r="K39" s="1"/>
    </row>
    <row r="40" spans="1:11" ht="13.5" thickTop="1">
      <c r="A40" s="1"/>
      <c r="B40" s="1"/>
      <c r="C40" s="24">
        <f>(C22+C21+C23+C29+C30)-(C27+C26+C25+C24+C28)</f>
        <v>0</v>
      </c>
      <c r="D40" s="1"/>
      <c r="E40" s="1"/>
      <c r="F40" s="1"/>
      <c r="G40" s="1"/>
      <c r="H40" s="1"/>
      <c r="I40" s="24">
        <f>(I22+I21+I23+I29+I30)-(I27+I26+I25+I24+I28)</f>
        <v>0</v>
      </c>
      <c r="J40" s="1"/>
      <c r="K40" s="1"/>
    </row>
  </sheetData>
  <mergeCells count="1">
    <mergeCell ref="L17:M17"/>
  </mergeCells>
  <conditionalFormatting sqref="M21:M36">
    <cfRule type="cellIs" priority="1" dxfId="1" operator="equal" stopIfTrue="1">
      <formula>"Consommation"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8"/>
  <sheetViews>
    <sheetView workbookViewId="0" topLeftCell="A1">
      <selection activeCell="A2" sqref="A2"/>
    </sheetView>
  </sheetViews>
  <sheetFormatPr defaultColWidth="11.421875" defaultRowHeight="12.75"/>
  <cols>
    <col min="1" max="1" width="16.140625" style="0" customWidth="1"/>
  </cols>
  <sheetData>
    <row r="1" spans="1:12" ht="12.75">
      <c r="A1" s="18" t="s">
        <v>215</v>
      </c>
      <c r="B1" s="9"/>
      <c r="C1" s="9"/>
      <c r="D1" s="9"/>
      <c r="E1" s="9"/>
      <c r="F1" s="9"/>
      <c r="G1" s="9"/>
      <c r="H1" s="9"/>
      <c r="I1" s="9"/>
      <c r="J1" s="9"/>
      <c r="K1" s="200" t="s">
        <v>195</v>
      </c>
      <c r="L1" s="9"/>
    </row>
    <row r="2" spans="1:12" ht="13.5" thickBot="1">
      <c r="A2" s="18" t="s">
        <v>122</v>
      </c>
      <c r="B2" s="9"/>
      <c r="C2" s="201">
        <f>'Sol nut norm'!B16</f>
        <v>38806</v>
      </c>
      <c r="D2" s="9"/>
      <c r="E2" s="9"/>
      <c r="F2" s="9"/>
      <c r="G2" s="9"/>
      <c r="H2" s="9"/>
      <c r="I2" s="9"/>
      <c r="J2" s="9"/>
      <c r="K2" s="9"/>
      <c r="L2" s="9"/>
    </row>
    <row r="3" spans="1:13" ht="14.25">
      <c r="A3" s="79" t="s">
        <v>28</v>
      </c>
      <c r="B3" s="80" t="s">
        <v>15</v>
      </c>
      <c r="C3" s="80" t="s">
        <v>17</v>
      </c>
      <c r="D3" s="80" t="s">
        <v>19</v>
      </c>
      <c r="E3" s="80" t="s">
        <v>100</v>
      </c>
      <c r="F3" s="80" t="s">
        <v>101</v>
      </c>
      <c r="G3" s="80" t="s">
        <v>102</v>
      </c>
      <c r="H3" s="81" t="s">
        <v>103</v>
      </c>
      <c r="I3" s="202"/>
      <c r="J3" s="202"/>
      <c r="K3" s="203"/>
      <c r="L3" s="202"/>
      <c r="M3" s="202"/>
    </row>
    <row r="4" spans="1:13" ht="12.75">
      <c r="A4" s="73" t="s">
        <v>31</v>
      </c>
      <c r="B4" s="204">
        <v>6.5</v>
      </c>
      <c r="C4" s="204">
        <v>5.5</v>
      </c>
      <c r="D4" s="204">
        <v>2</v>
      </c>
      <c r="E4" s="204">
        <v>1</v>
      </c>
      <c r="F4" s="204">
        <v>10.75</v>
      </c>
      <c r="G4" s="204">
        <v>1.25</v>
      </c>
      <c r="H4" s="205">
        <v>3</v>
      </c>
      <c r="I4" s="15" t="s">
        <v>208</v>
      </c>
      <c r="J4" s="15"/>
      <c r="K4" s="14"/>
      <c r="L4" s="202"/>
      <c r="M4" s="202"/>
    </row>
    <row r="5" spans="1:13" ht="12.75">
      <c r="A5" s="74" t="s">
        <v>32</v>
      </c>
      <c r="B5" s="206">
        <f>'Sol nut norm'!D25</f>
        <v>-100</v>
      </c>
      <c r="C5" s="206">
        <f>'Sol nut norm'!D26</f>
        <v>-100</v>
      </c>
      <c r="D5" s="206">
        <f>'Sol nut norm'!D27</f>
        <v>-100</v>
      </c>
      <c r="E5" s="206">
        <f>'Sol nut norm'!D24</f>
        <v>-100</v>
      </c>
      <c r="F5" s="206">
        <f>'Sol nut norm'!D21</f>
        <v>-100</v>
      </c>
      <c r="G5" s="206">
        <f>'Sol nut norm'!D22</f>
        <v>-100</v>
      </c>
      <c r="H5" s="207">
        <f>'Sol nut norm'!D23</f>
        <v>-100</v>
      </c>
      <c r="I5" s="15"/>
      <c r="J5" s="15"/>
      <c r="K5" s="203"/>
      <c r="L5" s="202"/>
      <c r="M5" s="202"/>
    </row>
    <row r="6" spans="1:13" ht="12.75">
      <c r="A6" s="76" t="s">
        <v>33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147">
        <v>100</v>
      </c>
      <c r="I6" s="91" t="s">
        <v>116</v>
      </c>
      <c r="J6" s="15"/>
      <c r="K6" s="14"/>
      <c r="L6" s="202"/>
      <c r="M6" s="202"/>
    </row>
    <row r="7" spans="1:13" ht="12.75">
      <c r="A7" s="73" t="s">
        <v>34</v>
      </c>
      <c r="B7" s="28">
        <f aca="true" t="shared" si="0" ref="B7:H7">(B4*B6)/100</f>
        <v>6.5</v>
      </c>
      <c r="C7" s="28">
        <f t="shared" si="0"/>
        <v>5.5</v>
      </c>
      <c r="D7" s="28">
        <f t="shared" si="0"/>
        <v>2</v>
      </c>
      <c r="E7" s="28">
        <f t="shared" si="0"/>
        <v>1</v>
      </c>
      <c r="F7" s="28">
        <f t="shared" si="0"/>
        <v>10.75</v>
      </c>
      <c r="G7" s="28">
        <f t="shared" si="0"/>
        <v>1.25</v>
      </c>
      <c r="H7" s="66">
        <f t="shared" si="0"/>
        <v>3</v>
      </c>
      <c r="I7" s="15"/>
      <c r="J7" s="15"/>
      <c r="K7" s="15"/>
      <c r="L7" s="15"/>
      <c r="M7" s="202"/>
    </row>
    <row r="8" spans="1:13" ht="12.75">
      <c r="A8" s="95" t="s">
        <v>35</v>
      </c>
      <c r="B8" s="88">
        <v>0.08</v>
      </c>
      <c r="C8" s="88">
        <v>2.02</v>
      </c>
      <c r="D8" s="88">
        <v>0.69</v>
      </c>
      <c r="E8" s="88">
        <v>0.01</v>
      </c>
      <c r="F8" s="88">
        <v>0.32</v>
      </c>
      <c r="G8" s="88">
        <v>0</v>
      </c>
      <c r="H8" s="96">
        <v>0.79</v>
      </c>
      <c r="I8" s="15"/>
      <c r="J8" s="15"/>
      <c r="K8" s="15"/>
      <c r="L8" s="15"/>
      <c r="M8" s="202"/>
    </row>
    <row r="9" spans="1:13" ht="13.5" thickBot="1">
      <c r="A9" s="78" t="s">
        <v>36</v>
      </c>
      <c r="B9" s="208">
        <f aca="true" t="shared" si="1" ref="B9:H9">B7-B8</f>
        <v>6.42</v>
      </c>
      <c r="C9" s="208">
        <f t="shared" si="1"/>
        <v>3.48</v>
      </c>
      <c r="D9" s="208">
        <f t="shared" si="1"/>
        <v>1.31</v>
      </c>
      <c r="E9" s="208">
        <f t="shared" si="1"/>
        <v>0.99</v>
      </c>
      <c r="F9" s="208">
        <f t="shared" si="1"/>
        <v>10.43</v>
      </c>
      <c r="G9" s="208">
        <f t="shared" si="1"/>
        <v>1.25</v>
      </c>
      <c r="H9" s="209">
        <f t="shared" si="1"/>
        <v>2.21</v>
      </c>
      <c r="I9" s="15"/>
      <c r="J9" s="15"/>
      <c r="K9" s="15"/>
      <c r="L9" s="15"/>
      <c r="M9" s="202"/>
    </row>
    <row r="10" spans="1:13" ht="12.75" customHeight="1">
      <c r="A10" s="71"/>
      <c r="B10" s="30"/>
      <c r="C10" s="30"/>
      <c r="D10" s="30"/>
      <c r="E10" s="30"/>
      <c r="F10" s="30"/>
      <c r="G10" s="30"/>
      <c r="H10" s="30"/>
      <c r="I10" s="418" t="s">
        <v>29</v>
      </c>
      <c r="J10" s="420" t="s">
        <v>3</v>
      </c>
      <c r="K10" s="422" t="s">
        <v>30</v>
      </c>
      <c r="L10" s="15"/>
      <c r="M10" s="202"/>
    </row>
    <row r="11" spans="1:13" ht="12.75" customHeight="1">
      <c r="A11" s="73"/>
      <c r="B11" s="22"/>
      <c r="C11" s="22"/>
      <c r="D11" s="22"/>
      <c r="E11" s="22"/>
      <c r="F11" s="22"/>
      <c r="G11" s="22"/>
      <c r="H11" s="22"/>
      <c r="I11" s="419"/>
      <c r="J11" s="421"/>
      <c r="K11" s="423"/>
      <c r="L11" s="15"/>
      <c r="M11" s="202"/>
    </row>
    <row r="12" spans="1:13" ht="15.75">
      <c r="A12" s="98" t="s">
        <v>37</v>
      </c>
      <c r="B12" s="150"/>
      <c r="C12" s="150"/>
      <c r="D12" s="150"/>
      <c r="E12" s="150"/>
      <c r="F12" s="157">
        <f>J30</f>
        <v>1.77</v>
      </c>
      <c r="G12" s="150"/>
      <c r="H12" s="150"/>
      <c r="I12" s="82">
        <v>63</v>
      </c>
      <c r="J12" s="82">
        <f>F12*I12</f>
        <v>111.51</v>
      </c>
      <c r="K12" s="152">
        <f>(J12/0.822)/1000</f>
        <v>0.13565693430656936</v>
      </c>
      <c r="L12" s="15"/>
      <c r="M12" s="202"/>
    </row>
    <row r="13" spans="1:13" ht="15.75">
      <c r="A13" s="73" t="s">
        <v>38</v>
      </c>
      <c r="B13" s="85">
        <f>G13</f>
        <v>1.25</v>
      </c>
      <c r="C13" s="85"/>
      <c r="D13" s="85"/>
      <c r="E13" s="85"/>
      <c r="F13" s="85"/>
      <c r="G13" s="153">
        <v>1.25</v>
      </c>
      <c r="H13" s="85"/>
      <c r="I13" s="28">
        <v>136</v>
      </c>
      <c r="J13" s="28">
        <f>G13*I13</f>
        <v>170</v>
      </c>
      <c r="K13" s="66"/>
      <c r="L13" s="15"/>
      <c r="M13" s="202"/>
    </row>
    <row r="14" spans="1:13" ht="12.75">
      <c r="A14" s="73" t="s">
        <v>39</v>
      </c>
      <c r="B14" s="85"/>
      <c r="C14" s="178">
        <f>C9</f>
        <v>3.48</v>
      </c>
      <c r="D14" s="85"/>
      <c r="E14" s="85">
        <f>C14*0.1</f>
        <v>0.34800000000000003</v>
      </c>
      <c r="F14" s="85">
        <f>C14+(C14*0.1)</f>
        <v>3.828</v>
      </c>
      <c r="G14" s="85"/>
      <c r="H14" s="85"/>
      <c r="I14" s="28">
        <v>108</v>
      </c>
      <c r="J14" s="28">
        <f>C14*I14</f>
        <v>375.84</v>
      </c>
      <c r="K14" s="66"/>
      <c r="L14" s="15"/>
      <c r="M14" s="202"/>
    </row>
    <row r="15" spans="1:13" ht="15.75">
      <c r="A15" s="73" t="s">
        <v>40</v>
      </c>
      <c r="B15" s="85"/>
      <c r="C15" s="85"/>
      <c r="D15" s="153">
        <v>1.31</v>
      </c>
      <c r="E15" s="85"/>
      <c r="F15" s="85">
        <f>D15</f>
        <v>1.31</v>
      </c>
      <c r="G15" s="85"/>
      <c r="H15" s="85"/>
      <c r="I15" s="28">
        <v>128</v>
      </c>
      <c r="J15" s="28">
        <f>D15*I15</f>
        <v>167.68</v>
      </c>
      <c r="K15" s="66"/>
      <c r="L15" s="15"/>
      <c r="M15" s="202"/>
    </row>
    <row r="16" spans="1:13" ht="15.75">
      <c r="A16" s="73" t="s">
        <v>41</v>
      </c>
      <c r="B16" s="85"/>
      <c r="C16" s="85"/>
      <c r="D16" s="85">
        <f>D9-D15</f>
        <v>0</v>
      </c>
      <c r="E16" s="85"/>
      <c r="F16" s="85"/>
      <c r="G16" s="85"/>
      <c r="H16" s="85">
        <f>D16</f>
        <v>0</v>
      </c>
      <c r="I16" s="28">
        <v>123</v>
      </c>
      <c r="J16" s="28">
        <f>D16*I16</f>
        <v>0</v>
      </c>
      <c r="K16" s="66"/>
      <c r="L16" s="15"/>
      <c r="M16" s="202"/>
    </row>
    <row r="17" spans="1:13" ht="15.75">
      <c r="A17" s="73" t="s">
        <v>42</v>
      </c>
      <c r="B17" s="154">
        <v>2.69</v>
      </c>
      <c r="C17" s="85"/>
      <c r="D17" s="85"/>
      <c r="E17" s="85"/>
      <c r="F17" s="85">
        <f>B17</f>
        <v>2.69</v>
      </c>
      <c r="G17" s="85"/>
      <c r="H17" s="85"/>
      <c r="I17" s="28">
        <v>101</v>
      </c>
      <c r="J17" s="28">
        <f>B17*I17</f>
        <v>271.69</v>
      </c>
      <c r="K17" s="66"/>
      <c r="L17" s="15"/>
      <c r="M17" s="202"/>
    </row>
    <row r="18" spans="1:13" ht="15.75">
      <c r="A18" s="73" t="s">
        <v>43</v>
      </c>
      <c r="B18" s="85"/>
      <c r="C18" s="85"/>
      <c r="D18" s="85"/>
      <c r="E18" s="178">
        <f>E9-E14</f>
        <v>0.6419999999999999</v>
      </c>
      <c r="F18" s="85">
        <f>E18</f>
        <v>0.6419999999999999</v>
      </c>
      <c r="G18" s="85"/>
      <c r="H18" s="85"/>
      <c r="I18" s="28">
        <v>80</v>
      </c>
      <c r="J18" s="28">
        <f>E18*I18</f>
        <v>51.35999999999999</v>
      </c>
      <c r="K18" s="66"/>
      <c r="L18" s="15"/>
      <c r="M18" s="202"/>
    </row>
    <row r="19" spans="1:13" ht="15.75">
      <c r="A19" s="73" t="s">
        <v>44</v>
      </c>
      <c r="B19" s="85">
        <f>B9-B13-B17</f>
        <v>2.48</v>
      </c>
      <c r="C19" s="85"/>
      <c r="D19" s="85"/>
      <c r="E19" s="85"/>
      <c r="F19" s="85"/>
      <c r="G19" s="85"/>
      <c r="H19" s="85">
        <f>B19</f>
        <v>2.48</v>
      </c>
      <c r="I19" s="28">
        <v>87</v>
      </c>
      <c r="J19" s="28">
        <f>B19*I19</f>
        <v>215.76</v>
      </c>
      <c r="K19" s="66"/>
      <c r="L19" s="15"/>
      <c r="M19" s="202"/>
    </row>
    <row r="20" spans="1:13" ht="16.5" thickBot="1">
      <c r="A20" s="78" t="s">
        <v>45</v>
      </c>
      <c r="B20" s="151"/>
      <c r="C20" s="151"/>
      <c r="D20" s="151"/>
      <c r="E20" s="155"/>
      <c r="F20" s="151"/>
      <c r="G20" s="151"/>
      <c r="H20" s="151">
        <f>E20</f>
        <v>0</v>
      </c>
      <c r="I20" s="46">
        <v>66</v>
      </c>
      <c r="J20" s="100">
        <f>E20*I20</f>
        <v>0</v>
      </c>
      <c r="K20" s="38"/>
      <c r="L20" s="15"/>
      <c r="M20" s="202"/>
    </row>
    <row r="21" spans="1:13" ht="12.75">
      <c r="A21" s="83"/>
      <c r="B21" s="28"/>
      <c r="C21" s="28"/>
      <c r="D21" s="28"/>
      <c r="E21" s="28"/>
      <c r="F21" s="28" t="s">
        <v>46</v>
      </c>
      <c r="G21" s="28"/>
      <c r="H21" s="28"/>
      <c r="I21" s="28"/>
      <c r="J21" s="28">
        <f>SUM(J12:J20)</f>
        <v>1363.84</v>
      </c>
      <c r="K21" s="97" t="s">
        <v>24</v>
      </c>
      <c r="L21" s="15"/>
      <c r="M21" s="202"/>
    </row>
    <row r="22" spans="1:13" ht="12.75">
      <c r="A22" s="83" t="s">
        <v>47</v>
      </c>
      <c r="B22" s="210">
        <f>B13+B17+B19</f>
        <v>6.42</v>
      </c>
      <c r="C22" s="210">
        <f>C14</f>
        <v>3.48</v>
      </c>
      <c r="D22" s="210">
        <f>(D15+D16)</f>
        <v>1.31</v>
      </c>
      <c r="E22" s="210">
        <f>(E14+E18+E20)</f>
        <v>0.99</v>
      </c>
      <c r="F22" s="210">
        <f>(F12+F14+F15+F17+F18)</f>
        <v>10.239999999999998</v>
      </c>
      <c r="G22" s="210">
        <f>G13</f>
        <v>1.25</v>
      </c>
      <c r="H22" s="210">
        <f>(H16+H19+H20)</f>
        <v>2.48</v>
      </c>
      <c r="I22" s="28"/>
      <c r="J22" s="1"/>
      <c r="K22" s="84">
        <f>(J21/0.7)/1000</f>
        <v>1.9483428571428572</v>
      </c>
      <c r="L22" s="211"/>
      <c r="M22" s="202"/>
    </row>
    <row r="23" spans="1:13" ht="12.75">
      <c r="A23" s="89" t="s">
        <v>48</v>
      </c>
      <c r="B23" s="28">
        <f aca="true" t="shared" si="2" ref="B23:H23">(B22-B9)/B9*100</f>
        <v>0</v>
      </c>
      <c r="C23" s="28">
        <f t="shared" si="2"/>
        <v>0</v>
      </c>
      <c r="D23" s="28">
        <f t="shared" si="2"/>
        <v>0</v>
      </c>
      <c r="E23" s="28">
        <f t="shared" si="2"/>
        <v>0</v>
      </c>
      <c r="F23" s="28">
        <f t="shared" si="2"/>
        <v>-1.821668264621297</v>
      </c>
      <c r="G23" s="28">
        <f t="shared" si="2"/>
        <v>0</v>
      </c>
      <c r="H23" s="28">
        <f t="shared" si="2"/>
        <v>12.217194570135748</v>
      </c>
      <c r="I23" s="28"/>
      <c r="J23" s="210" t="s">
        <v>78</v>
      </c>
      <c r="K23" s="408" t="s">
        <v>73</v>
      </c>
      <c r="L23" s="1" t="s">
        <v>211</v>
      </c>
      <c r="M23" s="202"/>
    </row>
    <row r="24" spans="1:13" ht="12.75">
      <c r="A24" s="87" t="s">
        <v>49</v>
      </c>
      <c r="B24" s="213">
        <f aca="true" t="shared" si="3" ref="B24:H24">B22+B8</f>
        <v>6.5</v>
      </c>
      <c r="C24" s="213">
        <f t="shared" si="3"/>
        <v>5.5</v>
      </c>
      <c r="D24" s="213">
        <f t="shared" si="3"/>
        <v>2</v>
      </c>
      <c r="E24" s="213">
        <f t="shared" si="3"/>
        <v>1</v>
      </c>
      <c r="F24" s="213">
        <f t="shared" si="3"/>
        <v>10.559999999999999</v>
      </c>
      <c r="G24" s="213">
        <f t="shared" si="3"/>
        <v>1.25</v>
      </c>
      <c r="H24" s="213">
        <f t="shared" si="3"/>
        <v>3.27</v>
      </c>
      <c r="I24" s="90"/>
      <c r="J24" s="409">
        <f>B24/C24</f>
        <v>1.1818181818181819</v>
      </c>
      <c r="K24" s="410">
        <f>B24/(C24+D24)</f>
        <v>0.8666666666666667</v>
      </c>
      <c r="L24" s="15"/>
      <c r="M24" s="20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202"/>
    </row>
    <row r="26" spans="1:13" ht="13.5" thickBot="1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"/>
      <c r="L26" s="15"/>
      <c r="M26" s="202"/>
    </row>
    <row r="27" spans="1:12" ht="14.25">
      <c r="A27" s="113" t="s">
        <v>28</v>
      </c>
      <c r="B27" s="80" t="s">
        <v>8</v>
      </c>
      <c r="C27" s="80" t="s">
        <v>10</v>
      </c>
      <c r="D27" s="80" t="s">
        <v>12</v>
      </c>
      <c r="E27" s="80" t="s">
        <v>14</v>
      </c>
      <c r="F27" s="80" t="s">
        <v>16</v>
      </c>
      <c r="G27" s="80" t="s">
        <v>18</v>
      </c>
      <c r="H27" s="80" t="s">
        <v>25</v>
      </c>
      <c r="I27" s="80" t="s">
        <v>26</v>
      </c>
      <c r="J27" s="81" t="s">
        <v>104</v>
      </c>
      <c r="K27" s="1"/>
      <c r="L27" s="1"/>
    </row>
    <row r="28" spans="1:12" ht="12.75">
      <c r="A28" s="40" t="s">
        <v>51</v>
      </c>
      <c r="B28" s="216">
        <v>15</v>
      </c>
      <c r="C28" s="216">
        <v>10</v>
      </c>
      <c r="D28" s="216">
        <v>4</v>
      </c>
      <c r="E28" s="216">
        <v>20</v>
      </c>
      <c r="F28" s="216">
        <v>0.75</v>
      </c>
      <c r="G28" s="216">
        <v>0.5</v>
      </c>
      <c r="H28" s="22"/>
      <c r="I28" s="22"/>
      <c r="J28" s="41"/>
      <c r="K28" s="15" t="s">
        <v>208</v>
      </c>
      <c r="L28" s="1"/>
    </row>
    <row r="29" spans="1:12" ht="12.75">
      <c r="A29" s="40" t="s">
        <v>52</v>
      </c>
      <c r="B29" s="134">
        <v>0.18</v>
      </c>
      <c r="C29" s="91">
        <v>0</v>
      </c>
      <c r="D29" s="91">
        <v>1.07</v>
      </c>
      <c r="E29" s="91">
        <v>9.3</v>
      </c>
      <c r="F29" s="91">
        <v>0</v>
      </c>
      <c r="G29" s="91"/>
      <c r="H29" s="214"/>
      <c r="I29" s="214"/>
      <c r="J29" s="215"/>
      <c r="K29" s="1"/>
      <c r="L29" s="1"/>
    </row>
    <row r="30" spans="1:12" ht="12.75">
      <c r="A30" s="40" t="s">
        <v>53</v>
      </c>
      <c r="B30" s="86"/>
      <c r="C30" s="86"/>
      <c r="D30" s="86"/>
      <c r="E30" s="86"/>
      <c r="F30" s="86"/>
      <c r="G30" s="86"/>
      <c r="H30" s="91">
        <v>0.19</v>
      </c>
      <c r="I30" s="91">
        <v>0.71</v>
      </c>
      <c r="J30" s="101">
        <v>1.77</v>
      </c>
      <c r="K30" s="1"/>
      <c r="L30" s="1"/>
    </row>
    <row r="31" spans="1:12" ht="12.75">
      <c r="A31" s="40" t="s">
        <v>54</v>
      </c>
      <c r="B31" s="22">
        <v>0.5</v>
      </c>
      <c r="C31" s="22">
        <v>0.1</v>
      </c>
      <c r="D31" s="22">
        <v>0.1</v>
      </c>
      <c r="E31" s="22">
        <v>0.1</v>
      </c>
      <c r="F31" s="22">
        <v>0.1</v>
      </c>
      <c r="G31" s="22">
        <v>0.1</v>
      </c>
      <c r="H31" s="21"/>
      <c r="I31" s="21"/>
      <c r="J31" s="56"/>
      <c r="K31" s="1" t="s">
        <v>209</v>
      </c>
      <c r="L31" s="1"/>
    </row>
    <row r="32" spans="1:12" ht="12.75">
      <c r="A32" s="61" t="s">
        <v>33</v>
      </c>
      <c r="B32" s="174">
        <v>100</v>
      </c>
      <c r="C32" s="174">
        <v>100</v>
      </c>
      <c r="D32" s="174">
        <v>73</v>
      </c>
      <c r="E32" s="174">
        <v>54</v>
      </c>
      <c r="F32" s="174">
        <v>100</v>
      </c>
      <c r="G32" s="174">
        <v>100</v>
      </c>
      <c r="H32" s="26"/>
      <c r="I32" s="26"/>
      <c r="J32" s="62"/>
      <c r="K32" s="91" t="s">
        <v>207</v>
      </c>
      <c r="L32" s="11"/>
    </row>
    <row r="33" spans="1:12" ht="12.75">
      <c r="A33" s="40" t="s">
        <v>54</v>
      </c>
      <c r="B33" s="22">
        <f aca="true" t="shared" si="4" ref="B33:G33">(B31*B32)/100</f>
        <v>0.5</v>
      </c>
      <c r="C33" s="22">
        <f t="shared" si="4"/>
        <v>0.1</v>
      </c>
      <c r="D33" s="22">
        <f t="shared" si="4"/>
        <v>0.07300000000000001</v>
      </c>
      <c r="E33" s="22">
        <f t="shared" si="4"/>
        <v>0.054000000000000006</v>
      </c>
      <c r="F33" s="22">
        <f t="shared" si="4"/>
        <v>0.1</v>
      </c>
      <c r="G33" s="22">
        <f t="shared" si="4"/>
        <v>0.1</v>
      </c>
      <c r="H33" s="21"/>
      <c r="I33" s="21"/>
      <c r="J33" s="56"/>
      <c r="K33" s="1"/>
      <c r="L33" s="1"/>
    </row>
    <row r="34" spans="1:12" ht="12.75">
      <c r="A34" s="158" t="s">
        <v>55</v>
      </c>
      <c r="B34" s="94">
        <f aca="true" t="shared" si="5" ref="B34:G34">(B32*B28)/100</f>
        <v>15</v>
      </c>
      <c r="C34" s="94">
        <f t="shared" si="5"/>
        <v>10</v>
      </c>
      <c r="D34" s="94">
        <f t="shared" si="5"/>
        <v>2.92</v>
      </c>
      <c r="E34" s="94">
        <f t="shared" si="5"/>
        <v>10.8</v>
      </c>
      <c r="F34" s="94">
        <f t="shared" si="5"/>
        <v>0.75</v>
      </c>
      <c r="G34" s="94">
        <f t="shared" si="5"/>
        <v>0.5</v>
      </c>
      <c r="H34" s="92"/>
      <c r="I34" s="92"/>
      <c r="J34" s="159"/>
      <c r="K34" s="10"/>
      <c r="L34" s="10"/>
    </row>
    <row r="35" spans="1:12" ht="12.75">
      <c r="A35" s="40" t="s">
        <v>56</v>
      </c>
      <c r="B35" s="156">
        <f aca="true" t="shared" si="6" ref="B35:G35">B34+B29</f>
        <v>15.18</v>
      </c>
      <c r="C35" s="156">
        <f t="shared" si="6"/>
        <v>10</v>
      </c>
      <c r="D35" s="156">
        <f t="shared" si="6"/>
        <v>3.99</v>
      </c>
      <c r="E35" s="156">
        <f t="shared" si="6"/>
        <v>20.1</v>
      </c>
      <c r="F35" s="156">
        <f t="shared" si="6"/>
        <v>0.75</v>
      </c>
      <c r="G35" s="156">
        <f t="shared" si="6"/>
        <v>0.5</v>
      </c>
      <c r="H35" s="162"/>
      <c r="I35" s="162"/>
      <c r="J35" s="163"/>
      <c r="K35" s="1" t="s">
        <v>210</v>
      </c>
      <c r="L35" s="1"/>
    </row>
    <row r="36" spans="1:12" ht="12.75">
      <c r="A36" s="102" t="s">
        <v>32</v>
      </c>
      <c r="B36" s="75">
        <f>'Sol nut norm'!D32</f>
        <v>-100</v>
      </c>
      <c r="C36" s="75">
        <f>'Sol nut norm'!D33</f>
        <v>-100</v>
      </c>
      <c r="D36" s="75">
        <f>'Sol nut norm'!D34</f>
        <v>-100</v>
      </c>
      <c r="E36" s="75">
        <f>'Sol nut norm'!D35</f>
        <v>-100</v>
      </c>
      <c r="F36" s="75">
        <f>'Sol nut norm'!D36</f>
        <v>-100</v>
      </c>
      <c r="G36" s="75">
        <f>'Sol nut norm'!D37</f>
        <v>0</v>
      </c>
      <c r="H36" s="92"/>
      <c r="I36" s="92"/>
      <c r="J36" s="159"/>
      <c r="K36" s="10"/>
      <c r="L36" s="10"/>
    </row>
    <row r="37" spans="1:12" ht="12.75">
      <c r="A37" s="160" t="s">
        <v>57</v>
      </c>
      <c r="B37" s="22">
        <v>15</v>
      </c>
      <c r="C37" s="22">
        <v>10</v>
      </c>
      <c r="D37" s="22">
        <v>4</v>
      </c>
      <c r="E37" s="22">
        <v>20</v>
      </c>
      <c r="F37" s="22">
        <v>0.75</v>
      </c>
      <c r="G37" s="22">
        <v>0.5</v>
      </c>
      <c r="H37" s="21"/>
      <c r="I37" s="21"/>
      <c r="J37" s="56"/>
      <c r="K37" s="1"/>
      <c r="L37" s="1"/>
    </row>
    <row r="38" spans="1:12" ht="13.5" thickBot="1">
      <c r="A38" s="161" t="s">
        <v>58</v>
      </c>
      <c r="B38" s="103">
        <f aca="true" t="shared" si="7" ref="B38:G38">B35/B37*100</f>
        <v>101.2</v>
      </c>
      <c r="C38" s="103">
        <f t="shared" si="7"/>
        <v>100</v>
      </c>
      <c r="D38" s="103">
        <f t="shared" si="7"/>
        <v>99.75</v>
      </c>
      <c r="E38" s="103">
        <f t="shared" si="7"/>
        <v>100.50000000000001</v>
      </c>
      <c r="F38" s="103">
        <f t="shared" si="7"/>
        <v>100</v>
      </c>
      <c r="G38" s="103">
        <f t="shared" si="7"/>
        <v>100</v>
      </c>
      <c r="H38" s="37"/>
      <c r="I38" s="37"/>
      <c r="J38" s="57"/>
      <c r="K38" s="1" t="s">
        <v>212</v>
      </c>
      <c r="L38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54"/>
  <sheetViews>
    <sheetView showGridLines="0" workbookViewId="0" topLeftCell="A3">
      <selection activeCell="B13" sqref="B13"/>
    </sheetView>
  </sheetViews>
  <sheetFormatPr defaultColWidth="11.421875" defaultRowHeight="12.75"/>
  <cols>
    <col min="1" max="1" width="60.421875" style="1" customWidth="1"/>
    <col min="2" max="2" width="12.140625" style="1" bestFit="1" customWidth="1"/>
    <col min="3" max="4" width="11.57421875" style="1" bestFit="1" customWidth="1"/>
    <col min="5" max="16384" width="11.421875" style="1" customWidth="1"/>
  </cols>
  <sheetData>
    <row r="1" spans="1:4" ht="13.5">
      <c r="A1" s="7" t="s">
        <v>97</v>
      </c>
      <c r="D1" s="192" t="s">
        <v>178</v>
      </c>
    </row>
    <row r="2" ht="13.5">
      <c r="D2" s="193" t="s">
        <v>179</v>
      </c>
    </row>
    <row r="3" ht="12.75">
      <c r="A3" s="16" t="s">
        <v>94</v>
      </c>
    </row>
    <row r="5" ht="12.75">
      <c r="A5" s="20" t="s">
        <v>123</v>
      </c>
    </row>
    <row r="6" ht="13.5" thickBot="1">
      <c r="A6" s="15" t="s">
        <v>192</v>
      </c>
    </row>
    <row r="7" spans="1:5" ht="26.25" thickBot="1">
      <c r="A7" s="17" t="s">
        <v>166</v>
      </c>
      <c r="B7" s="424" t="s">
        <v>106</v>
      </c>
      <c r="C7" s="425"/>
      <c r="D7" s="118">
        <v>60</v>
      </c>
      <c r="E7" s="127"/>
    </row>
    <row r="8" spans="1:2" ht="13.5" thickBot="1">
      <c r="A8" s="167" t="s">
        <v>165</v>
      </c>
      <c r="B8" s="168">
        <f>'Fert 2sem'!C2</f>
        <v>38806</v>
      </c>
    </row>
    <row r="9" spans="1:5" ht="51.75" thickBot="1">
      <c r="A9" s="114" t="s">
        <v>59</v>
      </c>
      <c r="B9" s="115" t="s">
        <v>3</v>
      </c>
      <c r="C9" s="116" t="s">
        <v>180</v>
      </c>
      <c r="D9" s="119" t="s">
        <v>181</v>
      </c>
      <c r="E9" s="127"/>
    </row>
    <row r="10" spans="1:5" ht="12.75">
      <c r="A10" s="40"/>
      <c r="B10" s="22"/>
      <c r="C10" s="105"/>
      <c r="D10" s="128"/>
      <c r="E10" s="128"/>
    </row>
    <row r="11" spans="1:5" ht="12.75">
      <c r="A11" s="106" t="s">
        <v>61</v>
      </c>
      <c r="B11" s="22"/>
      <c r="C11" s="105"/>
      <c r="D11" s="120"/>
      <c r="E11" s="120"/>
    </row>
    <row r="12" spans="1:5" ht="12.75">
      <c r="A12" s="40"/>
      <c r="B12" s="22"/>
      <c r="C12" s="105"/>
      <c r="D12" s="120"/>
      <c r="E12" s="120"/>
    </row>
    <row r="13" spans="1:5" ht="16.5">
      <c r="A13" s="182" t="s">
        <v>117</v>
      </c>
      <c r="B13" s="183">
        <f>'Fert prod norm'!J13</f>
        <v>170</v>
      </c>
      <c r="C13" s="184">
        <f>B13*0.3</f>
        <v>51</v>
      </c>
      <c r="D13" s="190">
        <f aca="true" t="shared" si="0" ref="D13:D19">C13*$D$7/1000</f>
        <v>3.06</v>
      </c>
      <c r="E13" s="130"/>
    </row>
    <row r="14" spans="1:5" ht="16.5">
      <c r="A14" s="182" t="s">
        <v>119</v>
      </c>
      <c r="B14" s="183">
        <v>0</v>
      </c>
      <c r="C14" s="184">
        <f aca="true" t="shared" si="1" ref="C14:C19">B14*0.3</f>
        <v>0</v>
      </c>
      <c r="D14" s="190">
        <f t="shared" si="0"/>
        <v>0</v>
      </c>
      <c r="E14" s="130"/>
    </row>
    <row r="15" spans="1:5" ht="16.5">
      <c r="A15" s="182" t="s">
        <v>62</v>
      </c>
      <c r="B15" s="183">
        <f>'Fert prod norm'!J15</f>
        <v>167.68</v>
      </c>
      <c r="C15" s="184">
        <f t="shared" si="1"/>
        <v>50.304</v>
      </c>
      <c r="D15" s="190">
        <f t="shared" si="0"/>
        <v>3.01824</v>
      </c>
      <c r="E15" s="130"/>
    </row>
    <row r="16" spans="1:5" ht="16.5">
      <c r="A16" s="182" t="s">
        <v>63</v>
      </c>
      <c r="B16" s="183">
        <f>'Fert prod norm'!J16</f>
        <v>0</v>
      </c>
      <c r="C16" s="184">
        <f t="shared" si="1"/>
        <v>0</v>
      </c>
      <c r="D16" s="190">
        <f t="shared" si="0"/>
        <v>0</v>
      </c>
      <c r="E16" s="130"/>
    </row>
    <row r="17" spans="1:5" ht="16.5">
      <c r="A17" s="182" t="s">
        <v>64</v>
      </c>
      <c r="B17" s="183">
        <f>'Fert prod norm'!J18</f>
        <v>51.35999999999999</v>
      </c>
      <c r="C17" s="184">
        <f t="shared" si="1"/>
        <v>15.407999999999998</v>
      </c>
      <c r="D17" s="190">
        <f t="shared" si="0"/>
        <v>0.9244799999999999</v>
      </c>
      <c r="E17" s="130"/>
    </row>
    <row r="18" spans="1:5" ht="16.5">
      <c r="A18" s="182" t="s">
        <v>65</v>
      </c>
      <c r="B18" s="183">
        <f>'Fert prod norm'!J19</f>
        <v>215.76</v>
      </c>
      <c r="C18" s="184">
        <f t="shared" si="1"/>
        <v>64.728</v>
      </c>
      <c r="D18" s="190">
        <f t="shared" si="0"/>
        <v>3.88368</v>
      </c>
      <c r="E18" s="130"/>
    </row>
    <row r="19" spans="1:5" ht="16.5">
      <c r="A19" s="182" t="s">
        <v>120</v>
      </c>
      <c r="B19" s="183">
        <f>'Fert prod norm'!J20</f>
        <v>0</v>
      </c>
      <c r="C19" s="184">
        <f t="shared" si="1"/>
        <v>0</v>
      </c>
      <c r="D19" s="190">
        <f t="shared" si="0"/>
        <v>0</v>
      </c>
      <c r="E19" s="191"/>
    </row>
    <row r="20" spans="1:5" ht="15.75">
      <c r="A20" s="185"/>
      <c r="B20" s="28"/>
      <c r="C20" s="166"/>
      <c r="D20" s="186"/>
      <c r="E20" s="121"/>
    </row>
    <row r="21" spans="1:5" ht="15.75">
      <c r="A21" s="185" t="s">
        <v>66</v>
      </c>
      <c r="B21" s="93" t="s">
        <v>30</v>
      </c>
      <c r="C21" s="148" t="s">
        <v>30</v>
      </c>
      <c r="D21" s="186" t="s">
        <v>109</v>
      </c>
      <c r="E21" s="121"/>
    </row>
    <row r="22" spans="1:5" ht="15.75">
      <c r="A22" s="185" t="s">
        <v>107</v>
      </c>
      <c r="B22" s="22"/>
      <c r="C22" s="22"/>
      <c r="D22" s="186"/>
      <c r="E22" s="131"/>
    </row>
    <row r="23" spans="1:5" ht="15.75">
      <c r="A23" s="109" t="s">
        <v>10</v>
      </c>
      <c r="B23" s="110">
        <f>'Fert prod norm'!C33</f>
        <v>0.1</v>
      </c>
      <c r="C23" s="22">
        <f>B23*300</f>
        <v>30</v>
      </c>
      <c r="D23" s="186">
        <f>C23*$D$7/1000</f>
        <v>1.8</v>
      </c>
      <c r="E23" s="130"/>
    </row>
    <row r="24" spans="1:5" ht="15.75">
      <c r="A24" s="109" t="s">
        <v>12</v>
      </c>
      <c r="B24" s="110">
        <f>'Fert prod norm'!D33</f>
        <v>0.07300000000000001</v>
      </c>
      <c r="C24" s="22">
        <f>B24*300</f>
        <v>21.900000000000002</v>
      </c>
      <c r="D24" s="186">
        <f>C24*$D$7/1000</f>
        <v>1.3140000000000003</v>
      </c>
      <c r="E24" s="130"/>
    </row>
    <row r="25" spans="1:5" ht="15.75">
      <c r="A25" s="109" t="s">
        <v>14</v>
      </c>
      <c r="B25" s="110">
        <f>'Fert prod norm'!E33</f>
        <v>0.054000000000000006</v>
      </c>
      <c r="C25" s="22">
        <f>B25*300</f>
        <v>16.200000000000003</v>
      </c>
      <c r="D25" s="186">
        <f>C25*$D$7/1000</f>
        <v>0.9720000000000002</v>
      </c>
      <c r="E25" s="130"/>
    </row>
    <row r="26" spans="1:5" ht="15.75">
      <c r="A26" s="109" t="s">
        <v>16</v>
      </c>
      <c r="B26" s="110">
        <f>'Fert prod norm'!F33</f>
        <v>0.1</v>
      </c>
      <c r="C26" s="22">
        <f>B26*300</f>
        <v>30</v>
      </c>
      <c r="D26" s="186">
        <f>C26*$D$7/1000</f>
        <v>1.8</v>
      </c>
      <c r="E26" s="130"/>
    </row>
    <row r="27" spans="1:5" ht="16.5" thickBot="1">
      <c r="A27" s="111" t="s">
        <v>18</v>
      </c>
      <c r="B27" s="112">
        <f>'Fert prod norm'!G33</f>
        <v>0.1</v>
      </c>
      <c r="C27" s="22">
        <f>B27*300</f>
        <v>30</v>
      </c>
      <c r="D27" s="187">
        <f>C27*$D$7/1000</f>
        <v>1.8</v>
      </c>
      <c r="E27" s="132"/>
    </row>
    <row r="28" spans="1:5" ht="13.5" thickBot="1">
      <c r="A28" s="70"/>
      <c r="B28" s="149"/>
      <c r="C28" s="149"/>
      <c r="D28" s="181"/>
      <c r="E28" s="70"/>
    </row>
    <row r="29" spans="1:5" ht="15.75">
      <c r="A29" s="113" t="s">
        <v>67</v>
      </c>
      <c r="B29" s="30" t="s">
        <v>3</v>
      </c>
      <c r="C29" s="30" t="s">
        <v>95</v>
      </c>
      <c r="D29" s="189" t="s">
        <v>177</v>
      </c>
      <c r="E29" s="133"/>
    </row>
    <row r="30" spans="1:5" ht="15.75">
      <c r="A30" s="40"/>
      <c r="B30" s="22"/>
      <c r="C30" s="22"/>
      <c r="D30" s="186"/>
      <c r="E30" s="131"/>
    </row>
    <row r="31" spans="1:5" ht="16.5">
      <c r="A31" s="182" t="s">
        <v>68</v>
      </c>
      <c r="B31" s="183">
        <f>'Fert prod norm'!J17</f>
        <v>271.69</v>
      </c>
      <c r="C31" s="184">
        <f>B31*0.3</f>
        <v>81.50699999999999</v>
      </c>
      <c r="D31" s="190">
        <f>C31*$D$7/1000</f>
        <v>4.890419999999999</v>
      </c>
      <c r="E31" s="130"/>
    </row>
    <row r="32" spans="1:5" ht="16.5">
      <c r="A32" s="182" t="s">
        <v>69</v>
      </c>
      <c r="B32" s="183">
        <f>'Fert prod norm'!J14</f>
        <v>375.84</v>
      </c>
      <c r="C32" s="184">
        <f>B32*0.3</f>
        <v>112.752</v>
      </c>
      <c r="D32" s="190">
        <f>C32*$D$7/1000</f>
        <v>6.76512</v>
      </c>
      <c r="E32" s="130"/>
    </row>
    <row r="33" spans="1:5" ht="15.75">
      <c r="A33" s="185"/>
      <c r="B33" s="28"/>
      <c r="C33" s="107"/>
      <c r="D33" s="186"/>
      <c r="E33" s="130"/>
    </row>
    <row r="34" spans="1:5" ht="15.75">
      <c r="A34" s="185"/>
      <c r="B34" s="93" t="s">
        <v>30</v>
      </c>
      <c r="C34" s="93" t="s">
        <v>30</v>
      </c>
      <c r="D34" s="186" t="s">
        <v>109</v>
      </c>
      <c r="E34" s="130"/>
    </row>
    <row r="35" spans="1:5" ht="16.5" thickBot="1">
      <c r="A35" s="188" t="s">
        <v>108</v>
      </c>
      <c r="B35" s="112">
        <f>'Fert prod norm'!B33</f>
        <v>0.5</v>
      </c>
      <c r="C35" s="45">
        <f>B35*300</f>
        <v>150</v>
      </c>
      <c r="D35" s="187">
        <f>C35*$D$7/1000</f>
        <v>9</v>
      </c>
      <c r="E35" s="132"/>
    </row>
    <row r="36" spans="2:4" ht="13.5" thickBot="1">
      <c r="B36" s="2"/>
      <c r="C36" s="2"/>
      <c r="D36" s="5"/>
    </row>
    <row r="37" spans="1:4" ht="12.75">
      <c r="A37" s="113" t="s">
        <v>70</v>
      </c>
      <c r="B37" s="30"/>
      <c r="C37" s="30"/>
      <c r="D37" s="128"/>
    </row>
    <row r="38" spans="1:4" ht="12.75">
      <c r="A38" s="40"/>
      <c r="B38" s="22" t="s">
        <v>164</v>
      </c>
      <c r="C38" s="22"/>
      <c r="D38" s="120"/>
    </row>
    <row r="39" spans="1:4" ht="17.25" thickBot="1">
      <c r="A39" s="188" t="s">
        <v>71</v>
      </c>
      <c r="B39" s="165" t="s">
        <v>163</v>
      </c>
      <c r="C39" s="180"/>
      <c r="D39" s="187">
        <f>B39*D7/100</f>
        <v>3</v>
      </c>
    </row>
    <row r="40" spans="2:3" ht="12.75">
      <c r="B40" s="2"/>
      <c r="C40" s="2"/>
    </row>
    <row r="41" spans="1:4" ht="12.75">
      <c r="A41" s="8" t="s">
        <v>72</v>
      </c>
      <c r="B41" s="19" t="s">
        <v>1</v>
      </c>
      <c r="D41" s="19" t="s">
        <v>24</v>
      </c>
    </row>
    <row r="42" spans="1:4" ht="12.75">
      <c r="A42" s="9"/>
      <c r="B42" s="13">
        <v>5.5</v>
      </c>
      <c r="D42" s="14">
        <v>2.5</v>
      </c>
    </row>
    <row r="43" spans="1:3" ht="12.75">
      <c r="A43" s="9"/>
      <c r="B43" s="13"/>
      <c r="C43" s="13"/>
    </row>
    <row r="44" spans="1:3" ht="12.75">
      <c r="A44" s="9"/>
      <c r="B44" s="13"/>
      <c r="C44" s="13"/>
    </row>
    <row r="45" spans="1:3" ht="12.75">
      <c r="A45" s="27"/>
      <c r="B45" s="2"/>
      <c r="C45" s="2"/>
    </row>
    <row r="47" ht="12.75">
      <c r="A47" s="27"/>
    </row>
    <row r="48" ht="12.75">
      <c r="A48" s="15"/>
    </row>
    <row r="49" ht="12.75">
      <c r="A49" s="15"/>
    </row>
    <row r="53" ht="12.75">
      <c r="A53" s="1" t="s">
        <v>99</v>
      </c>
    </row>
    <row r="54" ht="12.75">
      <c r="A54"/>
    </row>
  </sheetData>
  <mergeCells count="1">
    <mergeCell ref="B7:C7"/>
  </mergeCells>
  <conditionalFormatting sqref="D10:D35 D39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3"/>
  <headerFooter alignWithMargins="0">
    <oddFooter>&amp;L&amp;"Arial,Normal"&amp;8VG/&amp;F/&amp;A&amp;RChâteauneuf - &amp;D</oddFooter>
  </headerFooter>
  <legacyDrawing r:id="rId2"/>
  <oleObjects>
    <oleObject progId="Word.Picture.8" shapeId="194036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8"/>
  <sheetViews>
    <sheetView workbookViewId="0" topLeftCell="A1">
      <selection activeCell="D2" sqref="D2"/>
    </sheetView>
  </sheetViews>
  <sheetFormatPr defaultColWidth="11.421875" defaultRowHeight="12.75"/>
  <cols>
    <col min="1" max="1" width="16.140625" style="0" customWidth="1"/>
  </cols>
  <sheetData>
    <row r="1" spans="1:12" ht="12.75">
      <c r="A1" s="18" t="s">
        <v>216</v>
      </c>
      <c r="B1" s="9"/>
      <c r="C1" s="9"/>
      <c r="D1" s="9"/>
      <c r="E1" s="9"/>
      <c r="F1" s="9"/>
      <c r="G1" s="9"/>
      <c r="H1" s="9"/>
      <c r="I1" s="9"/>
      <c r="J1" s="9"/>
      <c r="K1" s="200" t="s">
        <v>195</v>
      </c>
      <c r="L1" s="9"/>
    </row>
    <row r="2" spans="1:12" ht="13.5" thickBot="1">
      <c r="A2" s="18" t="s">
        <v>122</v>
      </c>
      <c r="B2" s="9"/>
      <c r="C2" s="201">
        <f>'Sol nut norm'!B16</f>
        <v>38806</v>
      </c>
      <c r="D2" s="9"/>
      <c r="E2" s="9"/>
      <c r="F2" s="9"/>
      <c r="G2" s="9"/>
      <c r="H2" s="9"/>
      <c r="I2" s="9"/>
      <c r="J2" s="9"/>
      <c r="K2" s="9"/>
      <c r="L2" s="9"/>
    </row>
    <row r="3" spans="1:13" ht="14.25">
      <c r="A3" s="79" t="s">
        <v>28</v>
      </c>
      <c r="B3" s="80" t="s">
        <v>15</v>
      </c>
      <c r="C3" s="80" t="s">
        <v>17</v>
      </c>
      <c r="D3" s="80" t="s">
        <v>19</v>
      </c>
      <c r="E3" s="80" t="s">
        <v>100</v>
      </c>
      <c r="F3" s="80" t="s">
        <v>101</v>
      </c>
      <c r="G3" s="80" t="s">
        <v>102</v>
      </c>
      <c r="H3" s="81" t="s">
        <v>103</v>
      </c>
      <c r="I3" s="202"/>
      <c r="J3" s="202"/>
      <c r="K3" s="203"/>
      <c r="L3" s="202"/>
      <c r="M3" s="202"/>
    </row>
    <row r="4" spans="1:13" ht="12.75">
      <c r="A4" s="73" t="s">
        <v>31</v>
      </c>
      <c r="B4" s="204">
        <v>8.5</v>
      </c>
      <c r="C4" s="204">
        <v>5.5</v>
      </c>
      <c r="D4" s="204">
        <v>2</v>
      </c>
      <c r="E4" s="204">
        <v>1</v>
      </c>
      <c r="F4" s="204">
        <v>12.75</v>
      </c>
      <c r="G4" s="204">
        <v>1.25</v>
      </c>
      <c r="H4" s="205">
        <v>3</v>
      </c>
      <c r="I4" s="15" t="s">
        <v>208</v>
      </c>
      <c r="J4" s="15"/>
      <c r="K4" s="14"/>
      <c r="L4" s="202"/>
      <c r="M4" s="202"/>
    </row>
    <row r="5" spans="1:13" ht="12.75">
      <c r="A5" s="74" t="s">
        <v>32</v>
      </c>
      <c r="B5" s="206">
        <f>'Sol nut norm'!D25</f>
        <v>-100</v>
      </c>
      <c r="C5" s="206">
        <f>'Sol nut norm'!D26</f>
        <v>-100</v>
      </c>
      <c r="D5" s="206">
        <f>'Sol nut norm'!D27</f>
        <v>-100</v>
      </c>
      <c r="E5" s="206">
        <f>'Sol nut norm'!D24</f>
        <v>-100</v>
      </c>
      <c r="F5" s="206">
        <f>'Sol nut norm'!D21</f>
        <v>-100</v>
      </c>
      <c r="G5" s="206">
        <f>'Sol nut norm'!D22</f>
        <v>-100</v>
      </c>
      <c r="H5" s="207">
        <f>'Sol nut norm'!D23</f>
        <v>-100</v>
      </c>
      <c r="I5" s="15"/>
      <c r="J5" s="15"/>
      <c r="K5" s="203"/>
      <c r="L5" s="202"/>
      <c r="M5" s="202"/>
    </row>
    <row r="6" spans="1:13" ht="12.75">
      <c r="A6" s="76" t="s">
        <v>33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147">
        <v>100</v>
      </c>
      <c r="I6" s="91" t="s">
        <v>116</v>
      </c>
      <c r="J6" s="15"/>
      <c r="K6" s="14"/>
      <c r="L6" s="202"/>
      <c r="M6" s="202"/>
    </row>
    <row r="7" spans="1:13" ht="12.75">
      <c r="A7" s="73" t="s">
        <v>34</v>
      </c>
      <c r="B7" s="28">
        <f aca="true" t="shared" si="0" ref="B7:H7">(B4*B6)/100</f>
        <v>8.5</v>
      </c>
      <c r="C7" s="28">
        <f t="shared" si="0"/>
        <v>5.5</v>
      </c>
      <c r="D7" s="28">
        <f t="shared" si="0"/>
        <v>2</v>
      </c>
      <c r="E7" s="28">
        <f t="shared" si="0"/>
        <v>1</v>
      </c>
      <c r="F7" s="28">
        <f t="shared" si="0"/>
        <v>12.75</v>
      </c>
      <c r="G7" s="28">
        <f t="shared" si="0"/>
        <v>1.25</v>
      </c>
      <c r="H7" s="66">
        <f t="shared" si="0"/>
        <v>3</v>
      </c>
      <c r="I7" s="15"/>
      <c r="J7" s="15"/>
      <c r="K7" s="15"/>
      <c r="L7" s="15"/>
      <c r="M7" s="202"/>
    </row>
    <row r="8" spans="1:13" ht="12.75">
      <c r="A8" s="95" t="s">
        <v>35</v>
      </c>
      <c r="B8" s="88">
        <v>0.08</v>
      </c>
      <c r="C8" s="88">
        <v>2.02</v>
      </c>
      <c r="D8" s="88">
        <v>0.69</v>
      </c>
      <c r="E8" s="88">
        <v>0.01</v>
      </c>
      <c r="F8" s="88">
        <v>0.32</v>
      </c>
      <c r="G8" s="88">
        <v>0</v>
      </c>
      <c r="H8" s="96">
        <v>0.79</v>
      </c>
      <c r="I8" s="15"/>
      <c r="J8" s="15"/>
      <c r="K8" s="15"/>
      <c r="L8" s="15"/>
      <c r="M8" s="202"/>
    </row>
    <row r="9" spans="1:13" ht="13.5" thickBot="1">
      <c r="A9" s="78" t="s">
        <v>36</v>
      </c>
      <c r="B9" s="208">
        <f aca="true" t="shared" si="1" ref="B9:H9">B7-B8</f>
        <v>8.42</v>
      </c>
      <c r="C9" s="208">
        <f t="shared" si="1"/>
        <v>3.48</v>
      </c>
      <c r="D9" s="208">
        <f t="shared" si="1"/>
        <v>1.31</v>
      </c>
      <c r="E9" s="208">
        <f t="shared" si="1"/>
        <v>0.99</v>
      </c>
      <c r="F9" s="208">
        <f t="shared" si="1"/>
        <v>12.43</v>
      </c>
      <c r="G9" s="208">
        <f t="shared" si="1"/>
        <v>1.25</v>
      </c>
      <c r="H9" s="209">
        <f t="shared" si="1"/>
        <v>2.21</v>
      </c>
      <c r="I9" s="15"/>
      <c r="J9" s="15"/>
      <c r="K9" s="15"/>
      <c r="L9" s="15"/>
      <c r="M9" s="202"/>
    </row>
    <row r="10" spans="1:13" ht="12.75" customHeight="1">
      <c r="A10" s="71"/>
      <c r="B10" s="30"/>
      <c r="C10" s="30"/>
      <c r="D10" s="30"/>
      <c r="E10" s="30"/>
      <c r="F10" s="30"/>
      <c r="G10" s="30"/>
      <c r="H10" s="30"/>
      <c r="I10" s="418" t="s">
        <v>29</v>
      </c>
      <c r="J10" s="420" t="s">
        <v>3</v>
      </c>
      <c r="K10" s="422" t="s">
        <v>30</v>
      </c>
      <c r="L10" s="15"/>
      <c r="M10" s="202"/>
    </row>
    <row r="11" spans="1:13" ht="12.75" customHeight="1">
      <c r="A11" s="73"/>
      <c r="B11" s="22"/>
      <c r="C11" s="22"/>
      <c r="D11" s="22"/>
      <c r="E11" s="22"/>
      <c r="F11" s="22"/>
      <c r="G11" s="22"/>
      <c r="H11" s="22"/>
      <c r="I11" s="419"/>
      <c r="J11" s="421"/>
      <c r="K11" s="423"/>
      <c r="L11" s="15"/>
      <c r="M11" s="202"/>
    </row>
    <row r="12" spans="1:13" ht="15.75">
      <c r="A12" s="98" t="s">
        <v>37</v>
      </c>
      <c r="B12" s="150"/>
      <c r="C12" s="150"/>
      <c r="D12" s="150"/>
      <c r="E12" s="150"/>
      <c r="F12" s="157">
        <f>J30</f>
        <v>1.77</v>
      </c>
      <c r="G12" s="150"/>
      <c r="H12" s="150"/>
      <c r="I12" s="82">
        <v>63</v>
      </c>
      <c r="J12" s="82">
        <f>F12*I12</f>
        <v>111.51</v>
      </c>
      <c r="K12" s="152">
        <f>(J12/0.822)/1000</f>
        <v>0.13565693430656936</v>
      </c>
      <c r="L12" s="15"/>
      <c r="M12" s="202"/>
    </row>
    <row r="13" spans="1:13" ht="15.75">
      <c r="A13" s="73" t="s">
        <v>38</v>
      </c>
      <c r="B13" s="85">
        <f>G13</f>
        <v>1.25</v>
      </c>
      <c r="C13" s="85"/>
      <c r="D13" s="85"/>
      <c r="E13" s="85"/>
      <c r="F13" s="85"/>
      <c r="G13" s="153">
        <v>1.25</v>
      </c>
      <c r="H13" s="85"/>
      <c r="I13" s="28">
        <v>136</v>
      </c>
      <c r="J13" s="28">
        <f>G13*I13</f>
        <v>170</v>
      </c>
      <c r="K13" s="66"/>
      <c r="L13" s="15"/>
      <c r="M13" s="202"/>
    </row>
    <row r="14" spans="1:13" ht="12.75">
      <c r="A14" s="73" t="s">
        <v>39</v>
      </c>
      <c r="B14" s="85"/>
      <c r="C14" s="178">
        <f>C9</f>
        <v>3.48</v>
      </c>
      <c r="D14" s="85"/>
      <c r="E14" s="85">
        <f>C14*0.1</f>
        <v>0.34800000000000003</v>
      </c>
      <c r="F14" s="85">
        <f>C14+(C14*0.1)</f>
        <v>3.828</v>
      </c>
      <c r="G14" s="85"/>
      <c r="H14" s="85"/>
      <c r="I14" s="28">
        <v>108</v>
      </c>
      <c r="J14" s="28">
        <f>C14*I14</f>
        <v>375.84</v>
      </c>
      <c r="K14" s="66"/>
      <c r="L14" s="15"/>
      <c r="M14" s="202"/>
    </row>
    <row r="15" spans="1:13" ht="15.75">
      <c r="A15" s="73" t="s">
        <v>40</v>
      </c>
      <c r="B15" s="85"/>
      <c r="C15" s="85"/>
      <c r="D15" s="153">
        <v>1.31</v>
      </c>
      <c r="E15" s="85"/>
      <c r="F15" s="85">
        <f>D15</f>
        <v>1.31</v>
      </c>
      <c r="G15" s="85"/>
      <c r="H15" s="85"/>
      <c r="I15" s="28">
        <v>128</v>
      </c>
      <c r="J15" s="28">
        <f>D15*I15</f>
        <v>167.68</v>
      </c>
      <c r="K15" s="66"/>
      <c r="L15" s="15"/>
      <c r="M15" s="202"/>
    </row>
    <row r="16" spans="1:13" ht="15.75">
      <c r="A16" s="73" t="s">
        <v>41</v>
      </c>
      <c r="B16" s="85"/>
      <c r="C16" s="85"/>
      <c r="D16" s="85">
        <f>D9-D15</f>
        <v>0</v>
      </c>
      <c r="E16" s="85"/>
      <c r="F16" s="85"/>
      <c r="G16" s="85"/>
      <c r="H16" s="85">
        <f>D16</f>
        <v>0</v>
      </c>
      <c r="I16" s="28">
        <v>123</v>
      </c>
      <c r="J16" s="28">
        <f>D16*I16</f>
        <v>0</v>
      </c>
      <c r="K16" s="66"/>
      <c r="L16" s="15"/>
      <c r="M16" s="202"/>
    </row>
    <row r="17" spans="1:13" ht="15.75">
      <c r="A17" s="73" t="s">
        <v>42</v>
      </c>
      <c r="B17" s="154">
        <v>4.69</v>
      </c>
      <c r="C17" s="85"/>
      <c r="D17" s="85"/>
      <c r="E17" s="85"/>
      <c r="F17" s="85">
        <f>B17</f>
        <v>4.69</v>
      </c>
      <c r="G17" s="85"/>
      <c r="H17" s="85"/>
      <c r="I17" s="28">
        <v>101</v>
      </c>
      <c r="J17" s="28">
        <f>B17*I17</f>
        <v>473.69000000000005</v>
      </c>
      <c r="K17" s="66"/>
      <c r="L17" s="15"/>
      <c r="M17" s="202"/>
    </row>
    <row r="18" spans="1:13" ht="15.75">
      <c r="A18" s="73" t="s">
        <v>43</v>
      </c>
      <c r="B18" s="85"/>
      <c r="C18" s="85"/>
      <c r="D18" s="85"/>
      <c r="E18" s="178">
        <f>E9-E14</f>
        <v>0.6419999999999999</v>
      </c>
      <c r="F18" s="85">
        <f>E18</f>
        <v>0.6419999999999999</v>
      </c>
      <c r="G18" s="85"/>
      <c r="H18" s="85"/>
      <c r="I18" s="28">
        <v>80</v>
      </c>
      <c r="J18" s="28">
        <f>E18*I18</f>
        <v>51.35999999999999</v>
      </c>
      <c r="K18" s="66"/>
      <c r="L18" s="15"/>
      <c r="M18" s="202"/>
    </row>
    <row r="19" spans="1:13" ht="15.75">
      <c r="A19" s="73" t="s">
        <v>44</v>
      </c>
      <c r="B19" s="85">
        <f>B9-B13-B17</f>
        <v>2.4799999999999995</v>
      </c>
      <c r="C19" s="85"/>
      <c r="D19" s="85"/>
      <c r="E19" s="85"/>
      <c r="F19" s="85"/>
      <c r="G19" s="85"/>
      <c r="H19" s="85">
        <f>B19</f>
        <v>2.4799999999999995</v>
      </c>
      <c r="I19" s="28">
        <v>87</v>
      </c>
      <c r="J19" s="28">
        <f>B19*I19</f>
        <v>215.75999999999996</v>
      </c>
      <c r="K19" s="66"/>
      <c r="L19" s="15"/>
      <c r="M19" s="202"/>
    </row>
    <row r="20" spans="1:13" ht="16.5" thickBot="1">
      <c r="A20" s="78" t="s">
        <v>45</v>
      </c>
      <c r="B20" s="151"/>
      <c r="C20" s="151"/>
      <c r="D20" s="151"/>
      <c r="E20" s="155"/>
      <c r="F20" s="151"/>
      <c r="G20" s="151"/>
      <c r="H20" s="151">
        <f>E20</f>
        <v>0</v>
      </c>
      <c r="I20" s="46">
        <v>66</v>
      </c>
      <c r="J20" s="100">
        <f>E20*I20</f>
        <v>0</v>
      </c>
      <c r="K20" s="38"/>
      <c r="L20" s="15"/>
      <c r="M20" s="202"/>
    </row>
    <row r="21" spans="1:13" ht="12.75">
      <c r="A21" s="83"/>
      <c r="B21" s="28"/>
      <c r="C21" s="28"/>
      <c r="D21" s="28"/>
      <c r="E21" s="28"/>
      <c r="F21" s="28" t="s">
        <v>46</v>
      </c>
      <c r="G21" s="28"/>
      <c r="H21" s="28"/>
      <c r="I21" s="28"/>
      <c r="J21" s="28">
        <f>SUM(J12:J20)</f>
        <v>1565.84</v>
      </c>
      <c r="K21" s="97" t="s">
        <v>24</v>
      </c>
      <c r="L21" s="15"/>
      <c r="M21" s="202"/>
    </row>
    <row r="22" spans="1:13" ht="12.75">
      <c r="A22" s="83" t="s">
        <v>47</v>
      </c>
      <c r="B22" s="210">
        <f>B13+B17+B19</f>
        <v>8.42</v>
      </c>
      <c r="C22" s="210">
        <f>C14</f>
        <v>3.48</v>
      </c>
      <c r="D22" s="210">
        <f>(D15+D16)</f>
        <v>1.31</v>
      </c>
      <c r="E22" s="210">
        <f>(E14+E18+E20)</f>
        <v>0.99</v>
      </c>
      <c r="F22" s="210">
        <f>(F12+F14+F15+F17+F18)</f>
        <v>12.239999999999998</v>
      </c>
      <c r="G22" s="210">
        <f>G13</f>
        <v>1.25</v>
      </c>
      <c r="H22" s="210">
        <f>(H16+H19+H20)</f>
        <v>2.4799999999999995</v>
      </c>
      <c r="I22" s="28"/>
      <c r="J22" s="1"/>
      <c r="K22" s="84">
        <f>(J21/0.7)/1000</f>
        <v>2.2369142857142856</v>
      </c>
      <c r="L22" s="211"/>
      <c r="M22" s="202"/>
    </row>
    <row r="23" spans="1:13" ht="12.75">
      <c r="A23" s="89" t="s">
        <v>48</v>
      </c>
      <c r="B23" s="28">
        <f aca="true" t="shared" si="2" ref="B23:H23">(B22-B9)/B9*100</f>
        <v>0</v>
      </c>
      <c r="C23" s="28">
        <f t="shared" si="2"/>
        <v>0</v>
      </c>
      <c r="D23" s="28">
        <f t="shared" si="2"/>
        <v>0</v>
      </c>
      <c r="E23" s="28">
        <f t="shared" si="2"/>
        <v>0</v>
      </c>
      <c r="F23" s="28">
        <f t="shared" si="2"/>
        <v>-1.528559935639592</v>
      </c>
      <c r="G23" s="28">
        <f t="shared" si="2"/>
        <v>0</v>
      </c>
      <c r="H23" s="28">
        <f t="shared" si="2"/>
        <v>12.217194570135728</v>
      </c>
      <c r="I23" s="28"/>
      <c r="J23" s="210" t="s">
        <v>78</v>
      </c>
      <c r="K23" s="408" t="s">
        <v>73</v>
      </c>
      <c r="L23" s="1" t="s">
        <v>211</v>
      </c>
      <c r="M23" s="202"/>
    </row>
    <row r="24" spans="1:13" ht="12.75">
      <c r="A24" s="87" t="s">
        <v>49</v>
      </c>
      <c r="B24" s="213">
        <f aca="true" t="shared" si="3" ref="B24:H24">B22+B8</f>
        <v>8.5</v>
      </c>
      <c r="C24" s="213">
        <f t="shared" si="3"/>
        <v>5.5</v>
      </c>
      <c r="D24" s="213">
        <f t="shared" si="3"/>
        <v>2</v>
      </c>
      <c r="E24" s="213">
        <f t="shared" si="3"/>
        <v>1</v>
      </c>
      <c r="F24" s="213">
        <f t="shared" si="3"/>
        <v>12.559999999999999</v>
      </c>
      <c r="G24" s="213">
        <f t="shared" si="3"/>
        <v>1.25</v>
      </c>
      <c r="H24" s="213">
        <f t="shared" si="3"/>
        <v>3.2699999999999996</v>
      </c>
      <c r="I24" s="90"/>
      <c r="J24" s="409">
        <f>B24/C24</f>
        <v>1.5454545454545454</v>
      </c>
      <c r="K24" s="410">
        <f>B24/(C24+D24)</f>
        <v>1.1333333333333333</v>
      </c>
      <c r="L24" s="15"/>
      <c r="M24" s="20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202"/>
    </row>
    <row r="26" spans="1:13" ht="13.5" thickBot="1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"/>
      <c r="L26" s="15"/>
      <c r="M26" s="202"/>
    </row>
    <row r="27" spans="1:12" ht="14.25">
      <c r="A27" s="113" t="s">
        <v>28</v>
      </c>
      <c r="B27" s="80" t="s">
        <v>8</v>
      </c>
      <c r="C27" s="80" t="s">
        <v>10</v>
      </c>
      <c r="D27" s="80" t="s">
        <v>12</v>
      </c>
      <c r="E27" s="80" t="s">
        <v>14</v>
      </c>
      <c r="F27" s="80" t="s">
        <v>16</v>
      </c>
      <c r="G27" s="80" t="s">
        <v>18</v>
      </c>
      <c r="H27" s="80" t="s">
        <v>25</v>
      </c>
      <c r="I27" s="80" t="s">
        <v>26</v>
      </c>
      <c r="J27" s="81" t="s">
        <v>104</v>
      </c>
      <c r="K27" s="1"/>
      <c r="L27" s="1"/>
    </row>
    <row r="28" spans="1:12" ht="12.75">
      <c r="A28" s="40" t="s">
        <v>51</v>
      </c>
      <c r="B28" s="216">
        <v>15</v>
      </c>
      <c r="C28" s="216">
        <v>10</v>
      </c>
      <c r="D28" s="216">
        <v>4</v>
      </c>
      <c r="E28" s="216">
        <v>20</v>
      </c>
      <c r="F28" s="216">
        <v>0.75</v>
      </c>
      <c r="G28" s="216">
        <v>0.5</v>
      </c>
      <c r="H28" s="22"/>
      <c r="I28" s="22"/>
      <c r="J28" s="41"/>
      <c r="K28" s="15" t="s">
        <v>208</v>
      </c>
      <c r="L28" s="1"/>
    </row>
    <row r="29" spans="1:12" ht="12.75">
      <c r="A29" s="40" t="s">
        <v>52</v>
      </c>
      <c r="B29" s="134">
        <v>0.18</v>
      </c>
      <c r="C29" s="91">
        <v>0</v>
      </c>
      <c r="D29" s="91">
        <v>1.07</v>
      </c>
      <c r="E29" s="91">
        <v>9.3</v>
      </c>
      <c r="F29" s="91">
        <v>0</v>
      </c>
      <c r="G29" s="91"/>
      <c r="H29" s="214"/>
      <c r="I29" s="214"/>
      <c r="J29" s="215"/>
      <c r="K29" s="1"/>
      <c r="L29" s="1"/>
    </row>
    <row r="30" spans="1:12" ht="12.75">
      <c r="A30" s="40" t="s">
        <v>53</v>
      </c>
      <c r="B30" s="86"/>
      <c r="C30" s="86"/>
      <c r="D30" s="86"/>
      <c r="E30" s="86"/>
      <c r="F30" s="86"/>
      <c r="G30" s="86"/>
      <c r="H30" s="91">
        <v>0.19</v>
      </c>
      <c r="I30" s="91">
        <v>0.71</v>
      </c>
      <c r="J30" s="101">
        <v>1.77</v>
      </c>
      <c r="K30" s="1"/>
      <c r="L30" s="1"/>
    </row>
    <row r="31" spans="1:12" ht="12.75">
      <c r="A31" s="40" t="s">
        <v>54</v>
      </c>
      <c r="B31" s="22">
        <v>0.5</v>
      </c>
      <c r="C31" s="22">
        <v>0.1</v>
      </c>
      <c r="D31" s="22">
        <v>0.1</v>
      </c>
      <c r="E31" s="22">
        <v>0.1</v>
      </c>
      <c r="F31" s="22">
        <v>0.1</v>
      </c>
      <c r="G31" s="22">
        <v>0.1</v>
      </c>
      <c r="H31" s="21"/>
      <c r="I31" s="21"/>
      <c r="J31" s="56"/>
      <c r="K31" s="1" t="s">
        <v>209</v>
      </c>
      <c r="L31" s="1"/>
    </row>
    <row r="32" spans="1:12" ht="12.75">
      <c r="A32" s="61" t="s">
        <v>33</v>
      </c>
      <c r="B32" s="174">
        <v>100</v>
      </c>
      <c r="C32" s="174">
        <v>100</v>
      </c>
      <c r="D32" s="174">
        <v>73</v>
      </c>
      <c r="E32" s="174">
        <v>54</v>
      </c>
      <c r="F32" s="174">
        <v>100</v>
      </c>
      <c r="G32" s="174">
        <v>100</v>
      </c>
      <c r="H32" s="26"/>
      <c r="I32" s="26"/>
      <c r="J32" s="62"/>
      <c r="K32" s="91" t="s">
        <v>207</v>
      </c>
      <c r="L32" s="11"/>
    </row>
    <row r="33" spans="1:12" ht="12.75">
      <c r="A33" s="40" t="s">
        <v>54</v>
      </c>
      <c r="B33" s="22">
        <f aca="true" t="shared" si="4" ref="B33:G33">(B31*B32)/100</f>
        <v>0.5</v>
      </c>
      <c r="C33" s="22">
        <f t="shared" si="4"/>
        <v>0.1</v>
      </c>
      <c r="D33" s="22">
        <f t="shared" si="4"/>
        <v>0.07300000000000001</v>
      </c>
      <c r="E33" s="22">
        <f t="shared" si="4"/>
        <v>0.054000000000000006</v>
      </c>
      <c r="F33" s="22">
        <f t="shared" si="4"/>
        <v>0.1</v>
      </c>
      <c r="G33" s="22">
        <f t="shared" si="4"/>
        <v>0.1</v>
      </c>
      <c r="H33" s="21"/>
      <c r="I33" s="21"/>
      <c r="J33" s="56"/>
      <c r="K33" s="1"/>
      <c r="L33" s="1"/>
    </row>
    <row r="34" spans="1:12" ht="12.75">
      <c r="A34" s="158" t="s">
        <v>55</v>
      </c>
      <c r="B34" s="94">
        <f aca="true" t="shared" si="5" ref="B34:G34">(B32*B28)/100</f>
        <v>15</v>
      </c>
      <c r="C34" s="94">
        <f t="shared" si="5"/>
        <v>10</v>
      </c>
      <c r="D34" s="94">
        <f t="shared" si="5"/>
        <v>2.92</v>
      </c>
      <c r="E34" s="94">
        <f t="shared" si="5"/>
        <v>10.8</v>
      </c>
      <c r="F34" s="94">
        <f t="shared" si="5"/>
        <v>0.75</v>
      </c>
      <c r="G34" s="94">
        <f t="shared" si="5"/>
        <v>0.5</v>
      </c>
      <c r="H34" s="92"/>
      <c r="I34" s="92"/>
      <c r="J34" s="159"/>
      <c r="K34" s="10"/>
      <c r="L34" s="10"/>
    </row>
    <row r="35" spans="1:12" ht="12.75">
      <c r="A35" s="40" t="s">
        <v>56</v>
      </c>
      <c r="B35" s="156">
        <f aca="true" t="shared" si="6" ref="B35:G35">B34+B29</f>
        <v>15.18</v>
      </c>
      <c r="C35" s="156">
        <f t="shared" si="6"/>
        <v>10</v>
      </c>
      <c r="D35" s="156">
        <f t="shared" si="6"/>
        <v>3.99</v>
      </c>
      <c r="E35" s="156">
        <f t="shared" si="6"/>
        <v>20.1</v>
      </c>
      <c r="F35" s="156">
        <f t="shared" si="6"/>
        <v>0.75</v>
      </c>
      <c r="G35" s="156">
        <f t="shared" si="6"/>
        <v>0.5</v>
      </c>
      <c r="H35" s="162"/>
      <c r="I35" s="162"/>
      <c r="J35" s="163"/>
      <c r="K35" s="1" t="s">
        <v>210</v>
      </c>
      <c r="L35" s="1"/>
    </row>
    <row r="36" spans="1:12" ht="12.75">
      <c r="A36" s="102" t="s">
        <v>32</v>
      </c>
      <c r="B36" s="75">
        <f>'Sol nut norm'!D32</f>
        <v>-100</v>
      </c>
      <c r="C36" s="75">
        <f>'Sol nut norm'!D33</f>
        <v>-100</v>
      </c>
      <c r="D36" s="75">
        <f>'Sol nut norm'!D34</f>
        <v>-100</v>
      </c>
      <c r="E36" s="75">
        <f>'Sol nut norm'!D35</f>
        <v>-100</v>
      </c>
      <c r="F36" s="75">
        <f>'Sol nut norm'!D36</f>
        <v>-100</v>
      </c>
      <c r="G36" s="75">
        <f>'Sol nut norm'!D37</f>
        <v>0</v>
      </c>
      <c r="H36" s="92"/>
      <c r="I36" s="92"/>
      <c r="J36" s="159"/>
      <c r="K36" s="10"/>
      <c r="L36" s="10"/>
    </row>
    <row r="37" spans="1:12" ht="12.75">
      <c r="A37" s="160" t="s">
        <v>57</v>
      </c>
      <c r="B37" s="22">
        <v>15</v>
      </c>
      <c r="C37" s="22">
        <v>10</v>
      </c>
      <c r="D37" s="22">
        <v>4</v>
      </c>
      <c r="E37" s="22">
        <v>20</v>
      </c>
      <c r="F37" s="22">
        <v>0.75</v>
      </c>
      <c r="G37" s="22">
        <v>0.5</v>
      </c>
      <c r="H37" s="21"/>
      <c r="I37" s="21"/>
      <c r="J37" s="56"/>
      <c r="K37" s="1"/>
      <c r="L37" s="1"/>
    </row>
    <row r="38" spans="1:12" ht="13.5" thickBot="1">
      <c r="A38" s="161" t="s">
        <v>58</v>
      </c>
      <c r="B38" s="103">
        <f aca="true" t="shared" si="7" ref="B38:G38">B35/B37*100</f>
        <v>101.2</v>
      </c>
      <c r="C38" s="103">
        <f t="shared" si="7"/>
        <v>100</v>
      </c>
      <c r="D38" s="103">
        <f t="shared" si="7"/>
        <v>99.75</v>
      </c>
      <c r="E38" s="103">
        <f t="shared" si="7"/>
        <v>100.50000000000001</v>
      </c>
      <c r="F38" s="103">
        <f t="shared" si="7"/>
        <v>100</v>
      </c>
      <c r="G38" s="103">
        <f t="shared" si="7"/>
        <v>100</v>
      </c>
      <c r="H38" s="37"/>
      <c r="I38" s="37"/>
      <c r="J38" s="57"/>
      <c r="K38" s="1" t="s">
        <v>212</v>
      </c>
      <c r="L38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54"/>
  <sheetViews>
    <sheetView showGridLines="0" zoomScale="96" zoomScaleNormal="96" workbookViewId="0" topLeftCell="A1">
      <selection activeCell="B13" sqref="B13"/>
    </sheetView>
  </sheetViews>
  <sheetFormatPr defaultColWidth="11.421875" defaultRowHeight="12.75"/>
  <cols>
    <col min="1" max="1" width="60.421875" style="1" customWidth="1"/>
    <col min="2" max="16384" width="11.421875" style="1" customWidth="1"/>
  </cols>
  <sheetData>
    <row r="1" spans="1:4" ht="13.5">
      <c r="A1" s="7" t="s">
        <v>97</v>
      </c>
      <c r="D1" s="192" t="s">
        <v>178</v>
      </c>
    </row>
    <row r="2" ht="13.5">
      <c r="D2" s="193" t="s">
        <v>179</v>
      </c>
    </row>
    <row r="3" ht="12.75">
      <c r="A3" s="16" t="s">
        <v>94</v>
      </c>
    </row>
    <row r="5" ht="12.75">
      <c r="A5" s="20" t="s">
        <v>194</v>
      </c>
    </row>
    <row r="6" ht="13.5" thickBot="1">
      <c r="A6" s="15" t="s">
        <v>193</v>
      </c>
    </row>
    <row r="7" spans="1:5" ht="26.25" thickBot="1">
      <c r="A7" s="17" t="s">
        <v>166</v>
      </c>
      <c r="B7" s="424" t="s">
        <v>106</v>
      </c>
      <c r="C7" s="425"/>
      <c r="D7" s="118">
        <v>60</v>
      </c>
      <c r="E7" s="127"/>
    </row>
    <row r="8" spans="1:2" ht="13.5" thickBot="1">
      <c r="A8" s="167" t="s">
        <v>165</v>
      </c>
      <c r="B8" s="168">
        <f>'Fert 2sem'!C2</f>
        <v>38806</v>
      </c>
    </row>
    <row r="9" spans="1:5" ht="51.75" thickBot="1">
      <c r="A9" s="114" t="s">
        <v>59</v>
      </c>
      <c r="B9" s="115" t="s">
        <v>3</v>
      </c>
      <c r="C9" s="116" t="s">
        <v>180</v>
      </c>
      <c r="D9" s="119" t="s">
        <v>181</v>
      </c>
      <c r="E9" s="127"/>
    </row>
    <row r="10" spans="1:5" ht="12.75">
      <c r="A10" s="40"/>
      <c r="B10" s="22"/>
      <c r="C10" s="105"/>
      <c r="D10" s="128"/>
      <c r="E10" s="128"/>
    </row>
    <row r="11" spans="1:5" ht="12.75">
      <c r="A11" s="106" t="s">
        <v>61</v>
      </c>
      <c r="B11" s="22"/>
      <c r="C11" s="105"/>
      <c r="D11" s="120"/>
      <c r="E11" s="120"/>
    </row>
    <row r="12" spans="1:5" ht="12.75">
      <c r="A12" s="40"/>
      <c r="B12" s="22"/>
      <c r="C12" s="105"/>
      <c r="D12" s="120"/>
      <c r="E12" s="120"/>
    </row>
    <row r="13" spans="1:5" ht="16.5">
      <c r="A13" s="182" t="s">
        <v>117</v>
      </c>
      <c r="B13" s="183">
        <f>'Fert prod élevée'!J13</f>
        <v>170</v>
      </c>
      <c r="C13" s="184">
        <f aca="true" t="shared" si="0" ref="C13:C19">B13*0.3</f>
        <v>51</v>
      </c>
      <c r="D13" s="190">
        <f aca="true" t="shared" si="1" ref="D13:D19">C13*$D$7/1000</f>
        <v>3.06</v>
      </c>
      <c r="E13" s="130"/>
    </row>
    <row r="14" spans="1:5" ht="16.5">
      <c r="A14" s="182" t="s">
        <v>119</v>
      </c>
      <c r="B14" s="183">
        <v>0</v>
      </c>
      <c r="C14" s="184">
        <f t="shared" si="0"/>
        <v>0</v>
      </c>
      <c r="D14" s="190">
        <f t="shared" si="1"/>
        <v>0</v>
      </c>
      <c r="E14" s="130"/>
    </row>
    <row r="15" spans="1:5" ht="16.5">
      <c r="A15" s="182" t="s">
        <v>62</v>
      </c>
      <c r="B15" s="183">
        <f>'Fert prod élevée'!J15</f>
        <v>167.68</v>
      </c>
      <c r="C15" s="184">
        <f t="shared" si="0"/>
        <v>50.304</v>
      </c>
      <c r="D15" s="190">
        <f t="shared" si="1"/>
        <v>3.01824</v>
      </c>
      <c r="E15" s="130"/>
    </row>
    <row r="16" spans="1:5" ht="16.5">
      <c r="A16" s="182" t="s">
        <v>63</v>
      </c>
      <c r="B16" s="183">
        <f>'Fert prod élevée'!J16</f>
        <v>0</v>
      </c>
      <c r="C16" s="184">
        <f t="shared" si="0"/>
        <v>0</v>
      </c>
      <c r="D16" s="190">
        <f t="shared" si="1"/>
        <v>0</v>
      </c>
      <c r="E16" s="130"/>
    </row>
    <row r="17" spans="1:5" ht="16.5">
      <c r="A17" s="182" t="s">
        <v>64</v>
      </c>
      <c r="B17" s="183">
        <f>'Fert prod élevée'!J18</f>
        <v>51.35999999999999</v>
      </c>
      <c r="C17" s="184">
        <f t="shared" si="0"/>
        <v>15.407999999999998</v>
      </c>
      <c r="D17" s="190">
        <f t="shared" si="1"/>
        <v>0.9244799999999999</v>
      </c>
      <c r="E17" s="130"/>
    </row>
    <row r="18" spans="1:5" ht="16.5">
      <c r="A18" s="182" t="s">
        <v>65</v>
      </c>
      <c r="B18" s="183">
        <f>'Fert prod élevée'!J19</f>
        <v>215.75999999999996</v>
      </c>
      <c r="C18" s="184">
        <f t="shared" si="0"/>
        <v>64.72799999999998</v>
      </c>
      <c r="D18" s="190">
        <f t="shared" si="1"/>
        <v>3.883679999999999</v>
      </c>
      <c r="E18" s="130"/>
    </row>
    <row r="19" spans="1:5" ht="16.5">
      <c r="A19" s="182" t="s">
        <v>120</v>
      </c>
      <c r="B19" s="183">
        <f>'Fert prod élevée'!J20</f>
        <v>0</v>
      </c>
      <c r="C19" s="184">
        <f t="shared" si="0"/>
        <v>0</v>
      </c>
      <c r="D19" s="190">
        <f t="shared" si="1"/>
        <v>0</v>
      </c>
      <c r="E19" s="191"/>
    </row>
    <row r="20" spans="1:5" ht="15.75">
      <c r="A20" s="185"/>
      <c r="B20" s="28"/>
      <c r="C20" s="166"/>
      <c r="D20" s="186"/>
      <c r="E20" s="121"/>
    </row>
    <row r="21" spans="1:5" ht="15.75">
      <c r="A21" s="185" t="s">
        <v>66</v>
      </c>
      <c r="B21" s="93" t="s">
        <v>30</v>
      </c>
      <c r="C21" s="148" t="s">
        <v>30</v>
      </c>
      <c r="D21" s="186" t="s">
        <v>109</v>
      </c>
      <c r="E21" s="121"/>
    </row>
    <row r="22" spans="1:5" ht="15.75">
      <c r="A22" s="185" t="s">
        <v>107</v>
      </c>
      <c r="B22" s="22"/>
      <c r="C22" s="22"/>
      <c r="D22" s="186"/>
      <c r="E22" s="131"/>
    </row>
    <row r="23" spans="1:5" ht="15.75">
      <c r="A23" s="109" t="s">
        <v>10</v>
      </c>
      <c r="B23" s="110">
        <f>'Fert prod élevée'!C33</f>
        <v>0.1</v>
      </c>
      <c r="C23" s="22">
        <f>B23*300</f>
        <v>30</v>
      </c>
      <c r="D23" s="186">
        <f>C23*$D$7/1000</f>
        <v>1.8</v>
      </c>
      <c r="E23" s="130"/>
    </row>
    <row r="24" spans="1:5" ht="15.75">
      <c r="A24" s="109" t="s">
        <v>12</v>
      </c>
      <c r="B24" s="110">
        <f>'Fert prod élevée'!D33</f>
        <v>0.07300000000000001</v>
      </c>
      <c r="C24" s="22">
        <f>B24*300</f>
        <v>21.900000000000002</v>
      </c>
      <c r="D24" s="186">
        <f>C24*$D$7/1000</f>
        <v>1.3140000000000003</v>
      </c>
      <c r="E24" s="130"/>
    </row>
    <row r="25" spans="1:5" ht="15.75">
      <c r="A25" s="109" t="s">
        <v>14</v>
      </c>
      <c r="B25" s="110">
        <f>'Fert prod élevée'!E33</f>
        <v>0.054000000000000006</v>
      </c>
      <c r="C25" s="22">
        <f>B25*300</f>
        <v>16.200000000000003</v>
      </c>
      <c r="D25" s="186">
        <f>C25*$D$7/1000</f>
        <v>0.9720000000000002</v>
      </c>
      <c r="E25" s="130"/>
    </row>
    <row r="26" spans="1:5" ht="15.75">
      <c r="A26" s="109" t="s">
        <v>16</v>
      </c>
      <c r="B26" s="110">
        <f>'Fert prod élevée'!F33</f>
        <v>0.1</v>
      </c>
      <c r="C26" s="22">
        <f>B26*300</f>
        <v>30</v>
      </c>
      <c r="D26" s="186">
        <f>C26*$D$7/1000</f>
        <v>1.8</v>
      </c>
      <c r="E26" s="130"/>
    </row>
    <row r="27" spans="1:5" ht="16.5" thickBot="1">
      <c r="A27" s="111" t="s">
        <v>18</v>
      </c>
      <c r="B27" s="112">
        <f>'Fert prod élevée'!G33</f>
        <v>0.1</v>
      </c>
      <c r="C27" s="22">
        <f>B27*300</f>
        <v>30</v>
      </c>
      <c r="D27" s="187">
        <f>C27*$D$7/1000</f>
        <v>1.8</v>
      </c>
      <c r="E27" s="132"/>
    </row>
    <row r="28" spans="1:5" ht="13.5" thickBot="1">
      <c r="A28" s="70"/>
      <c r="B28" s="149"/>
      <c r="C28" s="149"/>
      <c r="D28" s="181"/>
      <c r="E28" s="70"/>
    </row>
    <row r="29" spans="1:5" ht="15.75">
      <c r="A29" s="113" t="s">
        <v>67</v>
      </c>
      <c r="B29" s="30" t="s">
        <v>3</v>
      </c>
      <c r="C29" s="30" t="s">
        <v>95</v>
      </c>
      <c r="D29" s="189" t="s">
        <v>177</v>
      </c>
      <c r="E29" s="133"/>
    </row>
    <row r="30" spans="1:5" ht="15.75">
      <c r="A30" s="40"/>
      <c r="B30" s="22"/>
      <c r="C30" s="22"/>
      <c r="D30" s="186"/>
      <c r="E30" s="131"/>
    </row>
    <row r="31" spans="1:5" ht="16.5">
      <c r="A31" s="182" t="s">
        <v>68</v>
      </c>
      <c r="B31" s="183">
        <f>'Fert prod élevée'!J17</f>
        <v>473.69000000000005</v>
      </c>
      <c r="C31" s="184">
        <f>B31*0.3</f>
        <v>142.107</v>
      </c>
      <c r="D31" s="190">
        <f>C31*$D$7/1000</f>
        <v>8.52642</v>
      </c>
      <c r="E31" s="130"/>
    </row>
    <row r="32" spans="1:5" ht="16.5">
      <c r="A32" s="182" t="s">
        <v>69</v>
      </c>
      <c r="B32" s="183">
        <f>'Fert prod élevée'!J14</f>
        <v>375.84</v>
      </c>
      <c r="C32" s="184">
        <f>B32*0.3</f>
        <v>112.752</v>
      </c>
      <c r="D32" s="190">
        <f>C32*$D$7/1000</f>
        <v>6.76512</v>
      </c>
      <c r="E32" s="130"/>
    </row>
    <row r="33" spans="1:5" ht="15.75">
      <c r="A33" s="185"/>
      <c r="B33" s="28"/>
      <c r="C33" s="107"/>
      <c r="D33" s="186"/>
      <c r="E33" s="130"/>
    </row>
    <row r="34" spans="1:5" ht="15.75">
      <c r="A34" s="185"/>
      <c r="B34" s="93" t="s">
        <v>30</v>
      </c>
      <c r="C34" s="93" t="s">
        <v>30</v>
      </c>
      <c r="D34" s="186" t="s">
        <v>109</v>
      </c>
      <c r="E34" s="130"/>
    </row>
    <row r="35" spans="1:5" ht="16.5" thickBot="1">
      <c r="A35" s="188" t="s">
        <v>108</v>
      </c>
      <c r="B35" s="112">
        <f>'Fert prod élevée'!B33</f>
        <v>0.5</v>
      </c>
      <c r="C35" s="45">
        <f>B35*300</f>
        <v>150</v>
      </c>
      <c r="D35" s="187">
        <f>C35*$D$7/1000</f>
        <v>9</v>
      </c>
      <c r="E35" s="132"/>
    </row>
    <row r="36" spans="2:4" ht="13.5" thickBot="1">
      <c r="B36" s="2"/>
      <c r="C36" s="2"/>
      <c r="D36" s="5"/>
    </row>
    <row r="37" spans="1:4" ht="12.75">
      <c r="A37" s="113" t="s">
        <v>70</v>
      </c>
      <c r="B37" s="30"/>
      <c r="C37" s="30"/>
      <c r="D37" s="128"/>
    </row>
    <row r="38" spans="1:4" ht="12.75">
      <c r="A38" s="40"/>
      <c r="B38" s="22" t="s">
        <v>164</v>
      </c>
      <c r="C38" s="22"/>
      <c r="D38" s="120"/>
    </row>
    <row r="39" spans="1:4" ht="17.25" thickBot="1">
      <c r="A39" s="188" t="s">
        <v>71</v>
      </c>
      <c r="B39" s="165" t="s">
        <v>163</v>
      </c>
      <c r="C39" s="180"/>
      <c r="D39" s="187">
        <f>B39*D7/100</f>
        <v>3</v>
      </c>
    </row>
    <row r="40" spans="2:3" ht="12.75">
      <c r="B40" s="2"/>
      <c r="C40" s="2"/>
    </row>
    <row r="41" spans="1:4" ht="12.75">
      <c r="A41" s="8" t="s">
        <v>72</v>
      </c>
      <c r="B41" s="19" t="s">
        <v>1</v>
      </c>
      <c r="D41" s="19" t="s">
        <v>24</v>
      </c>
    </row>
    <row r="42" spans="1:4" ht="12.75">
      <c r="A42" s="9"/>
      <c r="B42" s="13">
        <v>5.5</v>
      </c>
      <c r="D42" s="14">
        <v>2.5</v>
      </c>
    </row>
    <row r="43" spans="1:3" ht="12.75">
      <c r="A43" s="9"/>
      <c r="B43" s="13"/>
      <c r="C43" s="13"/>
    </row>
    <row r="44" spans="1:3" ht="12.75">
      <c r="A44" s="9"/>
      <c r="B44" s="13"/>
      <c r="C44" s="13"/>
    </row>
    <row r="45" spans="1:3" ht="12.75">
      <c r="A45" s="27"/>
      <c r="B45" s="2"/>
      <c r="C45" s="2"/>
    </row>
    <row r="47" ht="12.75">
      <c r="A47" s="27"/>
    </row>
    <row r="48" ht="12.75">
      <c r="A48" s="15"/>
    </row>
    <row r="49" ht="12.75">
      <c r="A49" s="15"/>
    </row>
    <row r="53" ht="12.75">
      <c r="A53" s="1" t="s">
        <v>99</v>
      </c>
    </row>
    <row r="54" ht="12.75">
      <c r="A54"/>
    </row>
  </sheetData>
  <mergeCells count="1">
    <mergeCell ref="B7:C7"/>
  </mergeCells>
  <conditionalFormatting sqref="D10:D35 D39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3"/>
  <headerFooter alignWithMargins="0">
    <oddFooter>&amp;L&amp;"Arial,Normal"&amp;8VG/&amp;F/&amp;A&amp;RChâteauneuf - &amp;D</oddFooter>
  </headerFooter>
  <legacyDrawing r:id="rId2"/>
  <oleObjects>
    <oleObject progId="Word.Picture.8" shapeId="7040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J38" sqref="J38"/>
    </sheetView>
  </sheetViews>
  <sheetFormatPr defaultColWidth="11.421875" defaultRowHeight="12.75"/>
  <cols>
    <col min="1" max="1" width="38.28125" style="0" customWidth="1"/>
    <col min="2" max="2" width="28.57421875" style="0" customWidth="1"/>
    <col min="3" max="3" width="13.7109375" style="0" bestFit="1" customWidth="1"/>
    <col min="4" max="4" width="12.7109375" style="0" bestFit="1" customWidth="1"/>
    <col min="5" max="5" width="11.57421875" style="0" bestFit="1" customWidth="1"/>
    <col min="6" max="8" width="9.57421875" style="0" customWidth="1"/>
    <col min="9" max="9" width="7.00390625" style="0" customWidth="1"/>
    <col min="11" max="11" width="12.28125" style="0" bestFit="1" customWidth="1"/>
  </cols>
  <sheetData>
    <row r="1" spans="1:8" ht="20.25">
      <c r="A1" s="428" t="s">
        <v>142</v>
      </c>
      <c r="B1" s="428"/>
      <c r="C1" s="428"/>
      <c r="D1" s="428"/>
      <c r="E1" s="428"/>
      <c r="F1" s="428"/>
      <c r="G1" s="428"/>
      <c r="H1" s="428"/>
    </row>
    <row r="2" ht="15">
      <c r="A2" s="179"/>
    </row>
    <row r="3" spans="1:8" ht="15.75">
      <c r="A3" s="429" t="s">
        <v>143</v>
      </c>
      <c r="B3" s="429"/>
      <c r="C3" s="429"/>
      <c r="D3" s="429"/>
      <c r="E3" s="429"/>
      <c r="F3" s="429"/>
      <c r="G3" s="429"/>
      <c r="H3" s="429"/>
    </row>
    <row r="4" ht="15">
      <c r="A4" s="179"/>
    </row>
    <row r="5" ht="15">
      <c r="A5" s="179" t="s">
        <v>144</v>
      </c>
    </row>
    <row r="6" spans="1:5" ht="15">
      <c r="A6" s="179"/>
      <c r="E6" t="s">
        <v>197</v>
      </c>
    </row>
    <row r="7" spans="3:10" ht="15.75">
      <c r="C7" s="217" t="s">
        <v>198</v>
      </c>
      <c r="D7" s="217" t="s">
        <v>199</v>
      </c>
      <c r="E7" s="217" t="s">
        <v>200</v>
      </c>
      <c r="F7" s="218" t="s">
        <v>145</v>
      </c>
      <c r="G7" s="219" t="s">
        <v>146</v>
      </c>
      <c r="H7" s="219" t="s">
        <v>147</v>
      </c>
      <c r="I7" s="220"/>
      <c r="J7" s="221" t="s">
        <v>201</v>
      </c>
    </row>
    <row r="8" spans="1:8" ht="15">
      <c r="A8" s="179"/>
      <c r="C8" s="222" t="s">
        <v>202</v>
      </c>
      <c r="D8" s="222" t="s">
        <v>164</v>
      </c>
      <c r="E8" s="222"/>
      <c r="F8" s="223"/>
      <c r="G8" s="222"/>
      <c r="H8" s="222"/>
    </row>
    <row r="9" spans="1:10" ht="19.5">
      <c r="A9" s="179" t="s">
        <v>148</v>
      </c>
      <c r="B9" s="179" t="s">
        <v>149</v>
      </c>
      <c r="C9" s="224">
        <v>54.9</v>
      </c>
      <c r="D9" s="224">
        <v>32</v>
      </c>
      <c r="E9" s="225">
        <v>100000</v>
      </c>
      <c r="F9" s="226">
        <f aca="true" t="shared" si="0" ref="F9:F14">E9*C9/D9/100/100</f>
        <v>17.15625</v>
      </c>
      <c r="G9" s="224">
        <f aca="true" t="shared" si="1" ref="G9:G14">F9*5</f>
        <v>85.78125</v>
      </c>
      <c r="H9" s="224">
        <f aca="true" t="shared" si="2" ref="H9:H14">F9*20</f>
        <v>343.125</v>
      </c>
      <c r="J9" s="224">
        <v>16.9</v>
      </c>
    </row>
    <row r="10" spans="1:10" ht="19.5">
      <c r="A10" s="179" t="s">
        <v>150</v>
      </c>
      <c r="B10" s="179" t="s">
        <v>151</v>
      </c>
      <c r="C10" s="224">
        <v>65.39</v>
      </c>
      <c r="D10" s="224">
        <v>36.4</v>
      </c>
      <c r="E10" s="225">
        <v>40000</v>
      </c>
      <c r="F10" s="226">
        <f t="shared" si="0"/>
        <v>7.185714285714286</v>
      </c>
      <c r="G10" s="224">
        <f t="shared" si="1"/>
        <v>35.92857142857143</v>
      </c>
      <c r="H10" s="224">
        <f t="shared" si="2"/>
        <v>143.71428571428572</v>
      </c>
      <c r="I10" s="179"/>
      <c r="J10" s="224">
        <v>7.1</v>
      </c>
    </row>
    <row r="11" spans="1:10" ht="19.5">
      <c r="A11" s="179" t="s">
        <v>152</v>
      </c>
      <c r="B11" s="179" t="s">
        <v>153</v>
      </c>
      <c r="C11" s="224">
        <v>65.39</v>
      </c>
      <c r="D11" s="224">
        <v>22.7</v>
      </c>
      <c r="E11" s="225">
        <v>40000</v>
      </c>
      <c r="F11" s="226">
        <f t="shared" si="0"/>
        <v>11.522466960352425</v>
      </c>
      <c r="G11" s="224">
        <f t="shared" si="1"/>
        <v>57.612334801762124</v>
      </c>
      <c r="H11" s="224">
        <f t="shared" si="2"/>
        <v>230.4493392070485</v>
      </c>
      <c r="J11" s="224">
        <v>11.4</v>
      </c>
    </row>
    <row r="12" spans="1:10" ht="19.5">
      <c r="A12" s="179" t="s">
        <v>154</v>
      </c>
      <c r="B12" s="179" t="s">
        <v>155</v>
      </c>
      <c r="C12" s="224">
        <v>10.81</v>
      </c>
      <c r="D12" s="224">
        <v>18</v>
      </c>
      <c r="E12" s="225">
        <v>200000</v>
      </c>
      <c r="F12" s="226">
        <f t="shared" si="0"/>
        <v>12.011111111111111</v>
      </c>
      <c r="G12" s="224">
        <f t="shared" si="1"/>
        <v>60.05555555555556</v>
      </c>
      <c r="H12" s="224">
        <f t="shared" si="2"/>
        <v>240.22222222222223</v>
      </c>
      <c r="J12" s="224">
        <v>12.4</v>
      </c>
    </row>
    <row r="13" spans="1:10" ht="19.5">
      <c r="A13" s="179" t="s">
        <v>156</v>
      </c>
      <c r="B13" s="179" t="s">
        <v>157</v>
      </c>
      <c r="C13" s="224">
        <v>63.55</v>
      </c>
      <c r="D13" s="224">
        <v>25</v>
      </c>
      <c r="E13" s="225">
        <v>7500</v>
      </c>
      <c r="F13" s="226">
        <f t="shared" si="0"/>
        <v>1.9065</v>
      </c>
      <c r="G13" s="224">
        <f t="shared" si="1"/>
        <v>9.5325</v>
      </c>
      <c r="H13" s="224">
        <f t="shared" si="2"/>
        <v>38.13</v>
      </c>
      <c r="J13" s="224">
        <v>1.9</v>
      </c>
    </row>
    <row r="14" spans="1:10" ht="19.5">
      <c r="A14" s="179" t="s">
        <v>158</v>
      </c>
      <c r="B14" s="179" t="s">
        <v>159</v>
      </c>
      <c r="C14" s="224">
        <v>95.9</v>
      </c>
      <c r="D14" s="224">
        <v>40</v>
      </c>
      <c r="E14" s="225">
        <v>5000</v>
      </c>
      <c r="F14" s="226">
        <f t="shared" si="0"/>
        <v>1.19875</v>
      </c>
      <c r="G14" s="224">
        <f t="shared" si="1"/>
        <v>5.99375</v>
      </c>
      <c r="H14" s="224">
        <f t="shared" si="2"/>
        <v>23.975</v>
      </c>
      <c r="J14" s="224">
        <v>1.22</v>
      </c>
    </row>
    <row r="15" spans="1:8" ht="15">
      <c r="A15" s="179"/>
      <c r="C15" s="1"/>
      <c r="D15" s="1"/>
      <c r="E15" s="225"/>
      <c r="F15" s="8"/>
      <c r="G15" s="1"/>
      <c r="H15" s="1"/>
    </row>
    <row r="16" spans="1:8" ht="15">
      <c r="A16" s="179"/>
      <c r="C16" s="1"/>
      <c r="D16" s="1"/>
      <c r="E16" s="225"/>
      <c r="F16" s="8"/>
      <c r="G16" s="1"/>
      <c r="H16" s="1"/>
    </row>
    <row r="17" spans="1:8" ht="15.75">
      <c r="A17" s="429" t="s">
        <v>160</v>
      </c>
      <c r="B17" s="429"/>
      <c r="C17" s="199"/>
      <c r="D17" s="199"/>
      <c r="E17" s="225"/>
      <c r="F17" s="8"/>
      <c r="G17" s="1"/>
      <c r="H17" s="1"/>
    </row>
    <row r="18" spans="1:8" ht="15">
      <c r="A18" s="179"/>
      <c r="C18" s="1"/>
      <c r="D18" s="1"/>
      <c r="E18" s="225"/>
      <c r="F18" s="8"/>
      <c r="G18" s="1"/>
      <c r="H18" s="1"/>
    </row>
    <row r="19" spans="1:8" ht="15">
      <c r="A19" s="179" t="s">
        <v>161</v>
      </c>
      <c r="C19" s="1"/>
      <c r="D19" s="1"/>
      <c r="E19" s="225"/>
      <c r="F19" s="8"/>
      <c r="G19" s="1"/>
      <c r="H19" s="1"/>
    </row>
    <row r="20" spans="1:8" ht="15">
      <c r="A20" s="179"/>
      <c r="C20" s="1"/>
      <c r="D20" s="1"/>
      <c r="E20" s="225"/>
      <c r="F20" s="8"/>
      <c r="G20" s="1"/>
      <c r="H20" s="1"/>
    </row>
    <row r="21" spans="1:10" ht="15.75">
      <c r="A21" s="179" t="s">
        <v>162</v>
      </c>
      <c r="C21" s="224">
        <v>55.85</v>
      </c>
      <c r="D21" s="224">
        <v>11</v>
      </c>
      <c r="E21" s="225">
        <v>30000</v>
      </c>
      <c r="F21" s="227">
        <f>E21*C21/D21/100/100</f>
        <v>15.231818181818182</v>
      </c>
      <c r="G21" s="1"/>
      <c r="H21" s="228">
        <f>F21*20</f>
        <v>304.6363636363636</v>
      </c>
      <c r="I21" s="229"/>
      <c r="J21" s="230">
        <v>15.24</v>
      </c>
    </row>
    <row r="22" spans="1:8" ht="15.75">
      <c r="A22" s="179" t="s">
        <v>203</v>
      </c>
      <c r="C22" s="224">
        <v>55.85</v>
      </c>
      <c r="D22" s="224">
        <v>7.6</v>
      </c>
      <c r="E22" s="225">
        <v>30000</v>
      </c>
      <c r="F22" s="227">
        <f>E22*C22/D22/100/100</f>
        <v>22.04605263157895</v>
      </c>
      <c r="G22" s="224">
        <f>F22*5</f>
        <v>110.23026315789474</v>
      </c>
      <c r="H22" s="224">
        <f>F22*20</f>
        <v>440.92105263157896</v>
      </c>
    </row>
    <row r="23" spans="1:8" ht="15.75">
      <c r="A23" s="179" t="s">
        <v>196</v>
      </c>
      <c r="C23" s="224">
        <v>55.85</v>
      </c>
      <c r="D23" s="224">
        <v>10</v>
      </c>
      <c r="E23" s="225">
        <v>30000</v>
      </c>
      <c r="F23" s="227">
        <f>E23*C23/D23/100/100</f>
        <v>16.755</v>
      </c>
      <c r="G23" s="224">
        <f>F23*5</f>
        <v>83.77499999999999</v>
      </c>
      <c r="H23" s="224">
        <f>F23*20</f>
        <v>335.09999999999997</v>
      </c>
    </row>
    <row r="24" spans="3:11" ht="15">
      <c r="C24" s="231"/>
      <c r="D24" s="231"/>
      <c r="E24" s="232"/>
      <c r="F24" s="231"/>
      <c r="G24" s="231"/>
      <c r="H24" s="231"/>
      <c r="I24" s="231"/>
      <c r="J24" s="231"/>
      <c r="K24" s="231"/>
    </row>
    <row r="25" spans="3:11" ht="15">
      <c r="C25" s="231"/>
      <c r="D25" s="231"/>
      <c r="E25" s="232"/>
      <c r="F25" s="231"/>
      <c r="G25" s="231"/>
      <c r="H25" s="231"/>
      <c r="I25" s="231"/>
      <c r="J25" s="231"/>
      <c r="K25" s="231"/>
    </row>
    <row r="26" spans="3:11" ht="15">
      <c r="C26" s="231"/>
      <c r="D26" s="231"/>
      <c r="E26" s="232"/>
      <c r="F26" s="231"/>
      <c r="G26" s="231"/>
      <c r="H26" s="231"/>
      <c r="I26" s="231"/>
      <c r="J26" s="231"/>
      <c r="K26" s="231"/>
    </row>
    <row r="27" ht="12.75">
      <c r="E27" s="233"/>
    </row>
    <row r="28" ht="12.75">
      <c r="E28" s="233"/>
    </row>
    <row r="29" ht="12.75">
      <c r="E29" s="233"/>
    </row>
    <row r="32" spans="2:8" ht="12.75">
      <c r="B32" s="212" t="s">
        <v>28</v>
      </c>
      <c r="C32" s="234" t="s">
        <v>8</v>
      </c>
      <c r="D32" s="234" t="s">
        <v>10</v>
      </c>
      <c r="E32" s="234" t="s">
        <v>12</v>
      </c>
      <c r="F32" s="234" t="s">
        <v>14</v>
      </c>
      <c r="G32" s="234" t="s">
        <v>16</v>
      </c>
      <c r="H32" s="234" t="s">
        <v>18</v>
      </c>
    </row>
    <row r="33" spans="2:8" ht="12.75">
      <c r="B33" s="212" t="s">
        <v>204</v>
      </c>
      <c r="C33" s="235">
        <v>30000</v>
      </c>
      <c r="D33" s="235">
        <v>100000</v>
      </c>
      <c r="E33" s="235">
        <v>40000</v>
      </c>
      <c r="F33" s="235">
        <v>200000</v>
      </c>
      <c r="G33" s="235">
        <v>7500</v>
      </c>
      <c r="H33" s="235">
        <v>5000</v>
      </c>
    </row>
  </sheetData>
  <mergeCells count="3">
    <mergeCell ref="A1:H1"/>
    <mergeCell ref="A3:H3"/>
    <mergeCell ref="A17:B17"/>
  </mergeCells>
  <printOptions/>
  <pageMargins left="0.75" right="0.75" top="1" bottom="1" header="0.4921259845" footer="0.4921259845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zoomScale="96" zoomScaleNormal="96" workbookViewId="0" topLeftCell="A1">
      <selection activeCell="B4" sqref="B4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0" style="1" hidden="1" customWidth="1"/>
    <col min="4" max="5" width="11.421875" style="1" customWidth="1"/>
    <col min="6" max="6" width="7.421875" style="1" customWidth="1"/>
    <col min="7" max="7" width="10.57421875" style="1" customWidth="1"/>
    <col min="8" max="8" width="9.00390625" style="1" customWidth="1"/>
    <col min="9" max="9" width="7.8515625" style="1" customWidth="1"/>
    <col min="10" max="16384" width="11.421875" style="1" customWidth="1"/>
  </cols>
  <sheetData>
    <row r="1" spans="1:5" ht="12.75">
      <c r="A1" s="20" t="s">
        <v>127</v>
      </c>
      <c r="D1" s="430" t="s">
        <v>225</v>
      </c>
      <c r="E1" s="430"/>
    </row>
    <row r="2" spans="4:5" ht="12.75">
      <c r="D2" s="167" t="s">
        <v>226</v>
      </c>
      <c r="E2" s="1">
        <v>3.7</v>
      </c>
    </row>
    <row r="3" spans="1:5" ht="12.75">
      <c r="A3" s="431" t="s">
        <v>128</v>
      </c>
      <c r="B3" s="432">
        <v>1000</v>
      </c>
      <c r="D3" s="167" t="s">
        <v>227</v>
      </c>
      <c r="E3" s="1">
        <v>1</v>
      </c>
    </row>
    <row r="4" ht="13.5" thickBot="1">
      <c r="A4" s="15"/>
    </row>
    <row r="5" spans="1:5" ht="27" customHeight="1" thickBot="1">
      <c r="A5" s="17" t="s">
        <v>228</v>
      </c>
      <c r="B5" s="424" t="s">
        <v>106</v>
      </c>
      <c r="C5" s="425"/>
      <c r="D5" s="118">
        <f>E2*E3*B3</f>
        <v>3700</v>
      </c>
      <c r="E5" s="127"/>
    </row>
    <row r="6" spans="1:9" ht="51.75" thickBot="1">
      <c r="A6" s="114" t="s">
        <v>59</v>
      </c>
      <c r="B6" s="115" t="s">
        <v>3</v>
      </c>
      <c r="C6" s="116" t="s">
        <v>60</v>
      </c>
      <c r="D6" s="119" t="s">
        <v>105</v>
      </c>
      <c r="E6" s="119" t="s">
        <v>140</v>
      </c>
      <c r="H6" s="1" t="s">
        <v>229</v>
      </c>
      <c r="I6" s="1" t="s">
        <v>230</v>
      </c>
    </row>
    <row r="7" spans="1:5" ht="12.75">
      <c r="A7" s="40"/>
      <c r="B7" s="22"/>
      <c r="C7" s="105"/>
      <c r="D7" s="40"/>
      <c r="E7" s="433"/>
    </row>
    <row r="8" spans="1:10" ht="12.75">
      <c r="A8" s="106" t="s">
        <v>61</v>
      </c>
      <c r="B8" s="22"/>
      <c r="C8" s="105"/>
      <c r="D8" s="40"/>
      <c r="E8" s="434"/>
      <c r="I8" s="177">
        <v>0.9640000000000001</v>
      </c>
      <c r="J8" s="1" t="s">
        <v>231</v>
      </c>
    </row>
    <row r="9" spans="1:9" ht="12.75">
      <c r="A9" s="40"/>
      <c r="B9" s="22"/>
      <c r="C9" s="105"/>
      <c r="D9" s="40"/>
      <c r="E9" s="434"/>
      <c r="I9" s="177">
        <v>1.16</v>
      </c>
    </row>
    <row r="10" spans="1:9" ht="15.75">
      <c r="A10" s="40" t="s">
        <v>129</v>
      </c>
      <c r="B10" s="435">
        <f>'SR prod norm'!B13</f>
        <v>170</v>
      </c>
      <c r="C10" s="107">
        <f aca="true" t="shared" si="0" ref="C10:C16">B10*0.1</f>
        <v>17</v>
      </c>
      <c r="D10" s="436">
        <f aca="true" t="shared" si="1" ref="D10:D16">C10*$D$5/1000</f>
        <v>62.9</v>
      </c>
      <c r="E10" s="437">
        <f aca="true" t="shared" si="2" ref="E10:E16">ROUND(D10,-1)</f>
        <v>60</v>
      </c>
      <c r="I10" s="177">
        <v>1.32</v>
      </c>
    </row>
    <row r="11" spans="1:10" ht="15.75">
      <c r="A11" s="40" t="s">
        <v>131</v>
      </c>
      <c r="B11" s="435">
        <f>'SR prod norm'!B14</f>
        <v>0</v>
      </c>
      <c r="C11" s="107">
        <f t="shared" si="0"/>
        <v>0</v>
      </c>
      <c r="D11" s="436">
        <f t="shared" si="1"/>
        <v>0</v>
      </c>
      <c r="E11" s="121">
        <f t="shared" si="2"/>
        <v>0</v>
      </c>
      <c r="I11" s="177">
        <v>1.468</v>
      </c>
      <c r="J11" s="1" t="s">
        <v>232</v>
      </c>
    </row>
    <row r="12" spans="1:9" ht="15.75">
      <c r="A12" s="40" t="s">
        <v>130</v>
      </c>
      <c r="B12" s="435">
        <f>'SR prod norm'!B15</f>
        <v>167.68</v>
      </c>
      <c r="C12" s="107">
        <f t="shared" si="0"/>
        <v>16.768</v>
      </c>
      <c r="D12" s="436">
        <f t="shared" si="1"/>
        <v>62.0416</v>
      </c>
      <c r="E12" s="437">
        <f t="shared" si="2"/>
        <v>60</v>
      </c>
      <c r="I12" s="177">
        <v>2.1</v>
      </c>
    </row>
    <row r="13" spans="1:9" ht="15.75">
      <c r="A13" s="40" t="s">
        <v>132</v>
      </c>
      <c r="B13" s="435">
        <f>'SR prod norm'!B16</f>
        <v>0</v>
      </c>
      <c r="C13" s="107">
        <f t="shared" si="0"/>
        <v>0</v>
      </c>
      <c r="D13" s="436">
        <f t="shared" si="1"/>
        <v>0</v>
      </c>
      <c r="E13" s="121">
        <f t="shared" si="2"/>
        <v>0</v>
      </c>
      <c r="I13" s="177">
        <v>2.15</v>
      </c>
    </row>
    <row r="14" spans="1:10" ht="15.75">
      <c r="A14" s="40" t="s">
        <v>133</v>
      </c>
      <c r="B14" s="435">
        <f>'SR prod norm'!B17</f>
        <v>51.35999999999999</v>
      </c>
      <c r="C14" s="107">
        <f t="shared" si="0"/>
        <v>5.135999999999999</v>
      </c>
      <c r="D14" s="436">
        <f t="shared" si="1"/>
        <v>19.003199999999996</v>
      </c>
      <c r="E14" s="121">
        <f t="shared" si="2"/>
        <v>20</v>
      </c>
      <c r="I14" s="177">
        <v>2.634</v>
      </c>
      <c r="J14" s="1" t="s">
        <v>233</v>
      </c>
    </row>
    <row r="15" spans="1:9" ht="15.75">
      <c r="A15" s="40" t="s">
        <v>134</v>
      </c>
      <c r="B15" s="435">
        <f>'SR prod norm'!B18</f>
        <v>215.76</v>
      </c>
      <c r="C15" s="107">
        <f t="shared" si="0"/>
        <v>21.576</v>
      </c>
      <c r="D15" s="436">
        <f t="shared" si="1"/>
        <v>79.8312</v>
      </c>
      <c r="E15" s="437">
        <f t="shared" si="2"/>
        <v>80</v>
      </c>
      <c r="I15" s="177">
        <v>2.766</v>
      </c>
    </row>
    <row r="16" spans="1:9" ht="15.75">
      <c r="A16" s="40" t="s">
        <v>135</v>
      </c>
      <c r="B16" s="435">
        <f>'SR prod norm'!B19</f>
        <v>0</v>
      </c>
      <c r="C16" s="107">
        <f t="shared" si="0"/>
        <v>0</v>
      </c>
      <c r="D16" s="436">
        <f t="shared" si="1"/>
        <v>0</v>
      </c>
      <c r="E16" s="121">
        <f t="shared" si="2"/>
        <v>0</v>
      </c>
      <c r="I16" s="177">
        <v>3.395</v>
      </c>
    </row>
    <row r="17" spans="1:10" ht="12.75">
      <c r="A17" s="40"/>
      <c r="B17" s="28"/>
      <c r="C17" s="166"/>
      <c r="D17" s="436"/>
      <c r="E17" s="437"/>
      <c r="I17" s="177">
        <v>3.808</v>
      </c>
      <c r="J17" s="1" t="s">
        <v>234</v>
      </c>
    </row>
    <row r="18" spans="1:9" ht="15">
      <c r="A18" s="185" t="s">
        <v>235</v>
      </c>
      <c r="B18" s="438" t="s">
        <v>3</v>
      </c>
      <c r="C18" s="148" t="s">
        <v>95</v>
      </c>
      <c r="D18" s="436" t="s">
        <v>236</v>
      </c>
      <c r="E18" s="437"/>
      <c r="G18" s="167"/>
      <c r="I18" s="177">
        <v>4</v>
      </c>
    </row>
    <row r="19" spans="1:9" ht="15">
      <c r="A19" s="185"/>
      <c r="B19" s="22"/>
      <c r="C19" s="22"/>
      <c r="D19" s="31"/>
      <c r="E19" s="437"/>
      <c r="G19" s="167"/>
      <c r="I19" s="177">
        <v>4.23</v>
      </c>
    </row>
    <row r="20" spans="1:10" ht="15.75">
      <c r="A20" s="439" t="s">
        <v>244</v>
      </c>
      <c r="B20" s="440">
        <f>'SR prod norm'!B23</f>
        <v>0.1</v>
      </c>
      <c r="C20" s="107">
        <f>B20*100</f>
        <v>10</v>
      </c>
      <c r="D20" s="436">
        <f>C20*$D$5/1000</f>
        <v>37</v>
      </c>
      <c r="E20" s="441">
        <f>ROUND(D20,-1)/1000</f>
        <v>0.04</v>
      </c>
      <c r="G20" s="167"/>
      <c r="I20" s="177">
        <v>4.05</v>
      </c>
      <c r="J20" s="1" t="s">
        <v>237</v>
      </c>
    </row>
    <row r="21" spans="1:9" ht="15.75">
      <c r="A21" s="439" t="s">
        <v>245</v>
      </c>
      <c r="B21" s="440">
        <f>'SR prod norm'!B24</f>
        <v>0.07300000000000001</v>
      </c>
      <c r="C21" s="107">
        <f>B21*100</f>
        <v>7.300000000000001</v>
      </c>
      <c r="D21" s="436">
        <f>C21*$D$5/1000</f>
        <v>27.010000000000005</v>
      </c>
      <c r="E21" s="441">
        <f>ROUND(D21,-1)/1000</f>
        <v>0.03</v>
      </c>
      <c r="G21" s="167"/>
      <c r="I21" s="177">
        <v>3.96</v>
      </c>
    </row>
    <row r="22" spans="1:9" ht="15.75">
      <c r="A22" s="439" t="s">
        <v>246</v>
      </c>
      <c r="B22" s="440">
        <f>'SR prod norm'!B25</f>
        <v>0.054000000000000006</v>
      </c>
      <c r="C22" s="107">
        <f>B22*100</f>
        <v>5.4</v>
      </c>
      <c r="D22" s="436">
        <f>C22*$D$5/1000</f>
        <v>19.98</v>
      </c>
      <c r="E22" s="441">
        <f>ROUND(D22,-1)/1000</f>
        <v>0.02</v>
      </c>
      <c r="G22" s="167"/>
      <c r="I22" s="177">
        <v>3.87</v>
      </c>
    </row>
    <row r="23" spans="1:10" ht="15.75">
      <c r="A23" s="439" t="s">
        <v>247</v>
      </c>
      <c r="B23" s="440">
        <f>'SR prod norm'!B26</f>
        <v>0.1</v>
      </c>
      <c r="C23" s="107">
        <f>B23*100</f>
        <v>10</v>
      </c>
      <c r="D23" s="436">
        <f>C23*$D$5/1000</f>
        <v>37</v>
      </c>
      <c r="E23" s="441">
        <f>ROUND(D23,-1)/1000</f>
        <v>0.04</v>
      </c>
      <c r="G23" s="167"/>
      <c r="I23" s="177">
        <v>3.42</v>
      </c>
      <c r="J23" s="1" t="s">
        <v>238</v>
      </c>
    </row>
    <row r="24" spans="1:9" ht="16.5" thickBot="1">
      <c r="A24" s="442" t="s">
        <v>248</v>
      </c>
      <c r="B24" s="440">
        <f>'SR prod norm'!B27</f>
        <v>0.1</v>
      </c>
      <c r="C24" s="443">
        <f>B24*100</f>
        <v>10</v>
      </c>
      <c r="D24" s="444">
        <f>C24*$D$5/1000</f>
        <v>37</v>
      </c>
      <c r="E24" s="445">
        <f>ROUND(D24,-1)/1000</f>
        <v>0.04</v>
      </c>
      <c r="G24" s="167"/>
      <c r="I24" s="177">
        <v>3.42</v>
      </c>
    </row>
    <row r="25" spans="1:9" ht="13.5" thickBot="1">
      <c r="A25" s="70"/>
      <c r="B25" s="149"/>
      <c r="C25" s="149"/>
      <c r="D25" s="149"/>
      <c r="E25" s="446"/>
      <c r="I25" s="447">
        <v>2.88</v>
      </c>
    </row>
    <row r="26" spans="1:10" ht="12.75">
      <c r="A26" s="113" t="s">
        <v>67</v>
      </c>
      <c r="B26" s="448" t="s">
        <v>3</v>
      </c>
      <c r="C26" s="30" t="s">
        <v>95</v>
      </c>
      <c r="D26" s="29" t="s">
        <v>110</v>
      </c>
      <c r="E26" s="449"/>
      <c r="H26" s="1" t="s">
        <v>239</v>
      </c>
      <c r="I26" s="177">
        <f>AVERAGE(I8:I25)</f>
        <v>2.8663888888888893</v>
      </c>
      <c r="J26" s="1" t="s">
        <v>240</v>
      </c>
    </row>
    <row r="27" spans="1:9" ht="12.75">
      <c r="A27" s="40"/>
      <c r="B27" s="22"/>
      <c r="C27" s="22"/>
      <c r="D27" s="31"/>
      <c r="E27" s="437"/>
      <c r="G27" s="450" t="s">
        <v>241</v>
      </c>
      <c r="H27" s="451">
        <v>0.3</v>
      </c>
      <c r="I27" s="177">
        <f>I26*H27+I26</f>
        <v>3.726305555555556</v>
      </c>
    </row>
    <row r="28" spans="1:5" ht="15.75">
      <c r="A28" s="40" t="s">
        <v>137</v>
      </c>
      <c r="B28" s="435">
        <f>'SR prod norm'!B35</f>
        <v>0.5</v>
      </c>
      <c r="C28" s="107">
        <f>B28*0.1</f>
        <v>0.05</v>
      </c>
      <c r="D28" s="452">
        <f>C28*$D$5/1000</f>
        <v>0.185</v>
      </c>
      <c r="E28" s="437">
        <f>ROUND(D28,-1)</f>
        <v>0</v>
      </c>
    </row>
    <row r="29" spans="1:5" ht="15.75">
      <c r="A29" s="40" t="s">
        <v>138</v>
      </c>
      <c r="B29" s="435">
        <f>'SR prod norm'!B36</f>
        <v>0</v>
      </c>
      <c r="C29" s="107">
        <f>B29*0.1</f>
        <v>0</v>
      </c>
      <c r="D29" s="452">
        <f>C29*$D$5/1000</f>
        <v>0</v>
      </c>
      <c r="E29" s="437">
        <f>ROUND(D29,-1)</f>
        <v>0</v>
      </c>
    </row>
    <row r="30" spans="1:5" ht="12.75">
      <c r="A30" s="40"/>
      <c r="B30" s="28"/>
      <c r="C30" s="107"/>
      <c r="D30" s="452"/>
      <c r="E30" s="437"/>
    </row>
    <row r="31" spans="1:5" ht="12.75">
      <c r="A31" s="40"/>
      <c r="B31" s="453" t="s">
        <v>3</v>
      </c>
      <c r="C31" s="93" t="s">
        <v>95</v>
      </c>
      <c r="D31" s="31" t="s">
        <v>236</v>
      </c>
      <c r="E31" s="437"/>
    </row>
    <row r="32" spans="1:5" ht="13.5" thickBot="1">
      <c r="A32" s="36" t="s">
        <v>139</v>
      </c>
      <c r="B32" s="454" t="str">
        <f>'SR prod norm'!B39</f>
        <v>5</v>
      </c>
      <c r="C32" s="443">
        <f>B32*100</f>
        <v>500</v>
      </c>
      <c r="D32" s="455">
        <f>C32*$D$5/1000</f>
        <v>1850</v>
      </c>
      <c r="E32" s="456">
        <f>ROUND(D32,-1)/1000</f>
        <v>1.85</v>
      </c>
    </row>
    <row r="33" spans="2:5" ht="13.5" thickBot="1">
      <c r="B33" s="2"/>
      <c r="C33" s="2"/>
      <c r="D33" s="5"/>
      <c r="E33" s="8"/>
    </row>
    <row r="34" spans="1:5" ht="12.75">
      <c r="A34" s="113" t="s">
        <v>70</v>
      </c>
      <c r="B34" s="30"/>
      <c r="C34" s="30"/>
      <c r="D34" s="39"/>
      <c r="E34" s="433"/>
    </row>
    <row r="35" spans="1:8" ht="12.75">
      <c r="A35" s="40"/>
      <c r="B35" s="22" t="s">
        <v>30</v>
      </c>
      <c r="C35" s="22" t="s">
        <v>30</v>
      </c>
      <c r="D35" s="41" t="s">
        <v>109</v>
      </c>
      <c r="E35" s="434"/>
      <c r="H35" s="1" t="s">
        <v>242</v>
      </c>
    </row>
    <row r="36" spans="1:9" ht="16.5" thickBot="1">
      <c r="A36" s="36" t="s">
        <v>71</v>
      </c>
      <c r="B36" s="165" t="s">
        <v>243</v>
      </c>
      <c r="C36" s="180" t="str">
        <f>B36</f>
        <v>0.15</v>
      </c>
      <c r="D36" s="457">
        <f>C36*D5/10</f>
        <v>55.5</v>
      </c>
      <c r="E36" s="456">
        <f>ROUND(D36,-1)</f>
        <v>60</v>
      </c>
      <c r="F36" s="1" t="s">
        <v>109</v>
      </c>
      <c r="H36" s="1">
        <v>0.15</v>
      </c>
      <c r="I36" s="1">
        <v>1</v>
      </c>
    </row>
    <row r="37" spans="2:9" ht="12.75">
      <c r="B37" s="2"/>
      <c r="C37" s="2"/>
      <c r="H37" s="1">
        <f>I37*H36</f>
        <v>450</v>
      </c>
      <c r="I37" s="1">
        <v>3000</v>
      </c>
    </row>
    <row r="38" spans="1:4" ht="12.75">
      <c r="A38" s="8" t="s">
        <v>136</v>
      </c>
      <c r="B38" s="19"/>
      <c r="C38" s="19"/>
      <c r="D38" s="458">
        <f>SUM(D10:D16,D28:D29)</f>
        <v>223.96099999999998</v>
      </c>
    </row>
    <row r="39" spans="1:3" ht="12.75">
      <c r="A39" s="9"/>
      <c r="B39" s="13"/>
      <c r="C39" s="14"/>
    </row>
    <row r="40" spans="1:3" ht="12.75">
      <c r="A40" s="9"/>
      <c r="B40" s="13"/>
      <c r="C40" s="13"/>
    </row>
    <row r="41" spans="1:3" ht="12.75">
      <c r="A41" s="9"/>
      <c r="B41" s="13"/>
      <c r="C41" s="13"/>
    </row>
    <row r="42" spans="1:3" ht="12.75">
      <c r="A42" s="27"/>
      <c r="B42" s="2"/>
      <c r="C42" s="2"/>
    </row>
    <row r="44" ht="12.75">
      <c r="A44" s="27"/>
    </row>
    <row r="45" ht="12.75">
      <c r="A45" s="15"/>
    </row>
    <row r="46" ht="12.75">
      <c r="A46" s="15"/>
    </row>
    <row r="51" ht="12.75">
      <c r="A51"/>
    </row>
  </sheetData>
  <sheetProtection/>
  <mergeCells count="2">
    <mergeCell ref="B5:C5"/>
    <mergeCell ref="D1:E1"/>
  </mergeCells>
  <conditionalFormatting sqref="D7:D32 E11 E13:E14 E16 D38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7" r:id="rId1"/>
  <headerFooter alignWithMargins="0">
    <oddFooter>&amp;L&amp;"Arial,Normal"&amp;8VG/&amp;F/&amp;A&amp;RChâteauneuf&amp;D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4" zoomScaleNormal="114" workbookViewId="0" topLeftCell="A1">
      <selection activeCell="A2" sqref="A2"/>
    </sheetView>
  </sheetViews>
  <sheetFormatPr defaultColWidth="11.421875" defaultRowHeight="12.75"/>
  <sheetData>
    <row r="1" spans="1:10" ht="13.5" thickBot="1">
      <c r="A1" s="12" t="s">
        <v>205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04"/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72" t="s">
        <v>0</v>
      </c>
      <c r="H2" s="1"/>
      <c r="I2" s="1"/>
      <c r="J2" s="1"/>
    </row>
    <row r="3" spans="1:10" ht="12.75">
      <c r="A3" s="136" t="s">
        <v>1</v>
      </c>
      <c r="B3" s="22">
        <v>5.5</v>
      </c>
      <c r="C3" s="22"/>
      <c r="D3" s="42"/>
      <c r="E3" s="21"/>
      <c r="F3" s="21"/>
      <c r="G3" s="43"/>
      <c r="H3" s="1"/>
      <c r="I3" s="1"/>
      <c r="J3" s="1"/>
    </row>
    <row r="4" spans="1:10" ht="15" thickBot="1">
      <c r="A4" s="137" t="s">
        <v>115</v>
      </c>
      <c r="B4" s="45">
        <v>1.7</v>
      </c>
      <c r="C4" s="46"/>
      <c r="D4" s="47"/>
      <c r="E4" s="37"/>
      <c r="F4" s="37"/>
      <c r="G4" s="48"/>
      <c r="H4" s="1"/>
      <c r="I4" s="1"/>
      <c r="J4" s="1"/>
    </row>
    <row r="5" spans="1:10" ht="12.75">
      <c r="A5" s="29"/>
      <c r="B5" s="80" t="s">
        <v>3</v>
      </c>
      <c r="C5" s="80" t="s">
        <v>4</v>
      </c>
      <c r="D5" s="138" t="s">
        <v>5</v>
      </c>
      <c r="E5" s="139"/>
      <c r="F5" s="80" t="s">
        <v>3</v>
      </c>
      <c r="G5" s="140" t="s">
        <v>112</v>
      </c>
      <c r="H5" s="19" t="s">
        <v>73</v>
      </c>
      <c r="I5" s="135" t="s">
        <v>113</v>
      </c>
      <c r="J5" s="135" t="s">
        <v>114</v>
      </c>
    </row>
    <row r="6" spans="1:10" ht="14.25">
      <c r="A6" s="136" t="s">
        <v>111</v>
      </c>
      <c r="B6" s="28">
        <f>C6*62.004</f>
        <v>666.543</v>
      </c>
      <c r="C6" s="28">
        <v>10.75</v>
      </c>
      <c r="D6" s="32">
        <f>C6</f>
        <v>10.75</v>
      </c>
      <c r="E6" s="31" t="s">
        <v>8</v>
      </c>
      <c r="F6" s="35">
        <f>G6*0.0558</f>
        <v>0.8370000000000001</v>
      </c>
      <c r="G6" s="32">
        <v>15</v>
      </c>
      <c r="H6" s="3">
        <f>D10/(D11+D12)</f>
        <v>0.8666666666666667</v>
      </c>
      <c r="I6" s="3">
        <f>D6+D7+D8</f>
        <v>15</v>
      </c>
      <c r="J6" s="3">
        <f>D9+D10+D11+D12</f>
        <v>15</v>
      </c>
    </row>
    <row r="7" spans="1:10" ht="14.25">
      <c r="A7" s="136" t="s">
        <v>102</v>
      </c>
      <c r="B7" s="28">
        <f>C7*96.986</f>
        <v>121.2325</v>
      </c>
      <c r="C7" s="28">
        <v>1.25</v>
      </c>
      <c r="D7" s="32">
        <f>C7</f>
        <v>1.25</v>
      </c>
      <c r="E7" s="31" t="s">
        <v>10</v>
      </c>
      <c r="F7" s="35">
        <f>G7*0.0549</f>
        <v>0.5489999999999999</v>
      </c>
      <c r="G7" s="32">
        <v>10</v>
      </c>
      <c r="H7" s="2" t="s">
        <v>78</v>
      </c>
      <c r="I7" s="21"/>
      <c r="J7" s="21"/>
    </row>
    <row r="8" spans="1:10" ht="14.25">
      <c r="A8" s="136" t="s">
        <v>103</v>
      </c>
      <c r="B8" s="28">
        <f>C8*96.056</f>
        <v>144.084</v>
      </c>
      <c r="C8" s="28">
        <v>1.5</v>
      </c>
      <c r="D8" s="32">
        <f>C8*2</f>
        <v>3</v>
      </c>
      <c r="E8" s="31" t="s">
        <v>12</v>
      </c>
      <c r="F8" s="35">
        <f>G8*0.0654</f>
        <v>0.2616</v>
      </c>
      <c r="G8" s="32">
        <v>4</v>
      </c>
      <c r="H8" s="3">
        <f>D10/D11</f>
        <v>1.1818181818181819</v>
      </c>
      <c r="I8" s="22"/>
      <c r="J8" s="22"/>
    </row>
    <row r="9" spans="1:10" ht="14.25">
      <c r="A9" s="136" t="s">
        <v>100</v>
      </c>
      <c r="B9" s="28">
        <f>C9*18.039</f>
        <v>18.039</v>
      </c>
      <c r="C9" s="28">
        <v>1</v>
      </c>
      <c r="D9" s="32">
        <f>C9</f>
        <v>1</v>
      </c>
      <c r="E9" s="31" t="s">
        <v>14</v>
      </c>
      <c r="F9" s="35">
        <f>G9*0.0108</f>
        <v>0.21600000000000003</v>
      </c>
      <c r="G9" s="32">
        <v>20</v>
      </c>
      <c r="H9" s="1"/>
      <c r="I9" s="3"/>
      <c r="J9" s="23"/>
    </row>
    <row r="10" spans="1:10" ht="12.75">
      <c r="A10" s="136" t="s">
        <v>15</v>
      </c>
      <c r="B10" s="28">
        <f>C10*39.102</f>
        <v>254.16299999999998</v>
      </c>
      <c r="C10" s="28">
        <v>6.5</v>
      </c>
      <c r="D10" s="32">
        <f>C10</f>
        <v>6.5</v>
      </c>
      <c r="E10" s="31" t="s">
        <v>16</v>
      </c>
      <c r="F10" s="35">
        <f>G10*0.0635</f>
        <v>0.047625</v>
      </c>
      <c r="G10" s="32">
        <v>0.75</v>
      </c>
      <c r="H10" s="22" t="s">
        <v>79</v>
      </c>
      <c r="I10" s="1"/>
      <c r="J10" s="1"/>
    </row>
    <row r="11" spans="1:10" ht="12.75">
      <c r="A11" s="136" t="s">
        <v>17</v>
      </c>
      <c r="B11" s="28">
        <f>C11*40.08</f>
        <v>110.22</v>
      </c>
      <c r="C11" s="28">
        <v>2.75</v>
      </c>
      <c r="D11" s="32">
        <f>C11*2</f>
        <v>5.5</v>
      </c>
      <c r="E11" s="31" t="s">
        <v>18</v>
      </c>
      <c r="F11" s="35">
        <f>G11*0.0959</f>
        <v>0.04795</v>
      </c>
      <c r="G11" s="32">
        <v>0.5</v>
      </c>
      <c r="H11" s="3">
        <f>SUM(C6:C12)</f>
        <v>24.75</v>
      </c>
      <c r="I11" s="1"/>
      <c r="J11" s="1"/>
    </row>
    <row r="12" spans="1:10" ht="13.5" thickBot="1">
      <c r="A12" s="137" t="s">
        <v>19</v>
      </c>
      <c r="B12" s="46">
        <f>C12*24.305</f>
        <v>24.305</v>
      </c>
      <c r="C12" s="46">
        <v>1</v>
      </c>
      <c r="D12" s="52">
        <f>C12*2</f>
        <v>2</v>
      </c>
      <c r="E12" s="36"/>
      <c r="F12" s="37"/>
      <c r="G12" s="38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139" t="s">
        <v>20</v>
      </c>
      <c r="B14" s="194" t="s">
        <v>183</v>
      </c>
      <c r="C14" s="141" t="str">
        <f>B14</f>
        <v>S192</v>
      </c>
      <c r="D14" s="72"/>
      <c r="E14" s="2"/>
      <c r="F14" s="139" t="s">
        <v>20</v>
      </c>
      <c r="G14" s="194" t="s">
        <v>190</v>
      </c>
      <c r="H14" s="141" t="str">
        <f>G14</f>
        <v>S19</v>
      </c>
      <c r="I14" s="72"/>
      <c r="J14" s="1"/>
    </row>
    <row r="15" spans="1:10" ht="12.75">
      <c r="A15" s="136" t="s">
        <v>21</v>
      </c>
      <c r="B15" s="142" t="s">
        <v>184</v>
      </c>
      <c r="C15" s="142" t="str">
        <f>B15</f>
        <v>Goutteur</v>
      </c>
      <c r="D15" s="41"/>
      <c r="E15" s="2"/>
      <c r="F15" s="136" t="s">
        <v>21</v>
      </c>
      <c r="G15" s="142" t="s">
        <v>185</v>
      </c>
      <c r="H15" s="142" t="str">
        <f>G15</f>
        <v>Puit</v>
      </c>
      <c r="I15" s="41"/>
      <c r="J15" s="1"/>
    </row>
    <row r="16" spans="1:10" ht="12.75">
      <c r="A16" s="136" t="s">
        <v>22</v>
      </c>
      <c r="B16" s="143"/>
      <c r="C16" s="143">
        <f>B16</f>
        <v>0</v>
      </c>
      <c r="D16" s="144"/>
      <c r="E16" s="4"/>
      <c r="F16" s="136" t="s">
        <v>22</v>
      </c>
      <c r="G16" s="143">
        <v>38806</v>
      </c>
      <c r="H16" s="143">
        <f>G16</f>
        <v>38806</v>
      </c>
      <c r="I16" s="144"/>
      <c r="J16" s="1"/>
    </row>
    <row r="17" spans="1:10" ht="12.75">
      <c r="A17" s="136"/>
      <c r="B17" s="22"/>
      <c r="C17" s="22"/>
      <c r="D17" s="41" t="s">
        <v>23</v>
      </c>
      <c r="E17" s="2"/>
      <c r="F17" s="136"/>
      <c r="G17" s="22"/>
      <c r="H17" s="22"/>
      <c r="I17" s="41" t="s">
        <v>23</v>
      </c>
      <c r="J17" s="1"/>
    </row>
    <row r="18" spans="1:10" ht="12.75">
      <c r="A18" s="136" t="s">
        <v>1</v>
      </c>
      <c r="B18" s="142"/>
      <c r="C18" s="22"/>
      <c r="D18" s="56"/>
      <c r="E18" s="2"/>
      <c r="F18" s="136" t="s">
        <v>1</v>
      </c>
      <c r="G18" s="142">
        <v>8.1</v>
      </c>
      <c r="H18" s="22"/>
      <c r="I18" s="56"/>
      <c r="J18" s="1"/>
    </row>
    <row r="19" spans="1:10" ht="12.75">
      <c r="A19" s="136" t="s">
        <v>24</v>
      </c>
      <c r="B19" s="142"/>
      <c r="C19" s="22"/>
      <c r="D19" s="108">
        <f>(B19-$B$4)/$B$4*100</f>
        <v>-100</v>
      </c>
      <c r="E19" s="2"/>
      <c r="F19" s="136" t="s">
        <v>24</v>
      </c>
      <c r="G19" s="142">
        <v>0.61</v>
      </c>
      <c r="H19" s="22"/>
      <c r="I19" s="108">
        <f>(G19-$B$4)/$B$4*100</f>
        <v>-64.11764705882352</v>
      </c>
      <c r="J19" s="1"/>
    </row>
    <row r="20" spans="1:10" ht="12.75">
      <c r="A20" s="136"/>
      <c r="B20" s="22" t="s">
        <v>3</v>
      </c>
      <c r="C20" s="22" t="s">
        <v>5</v>
      </c>
      <c r="D20" s="108"/>
      <c r="E20" s="2"/>
      <c r="F20" s="136"/>
      <c r="G20" s="22" t="s">
        <v>3</v>
      </c>
      <c r="H20" s="22" t="s">
        <v>5</v>
      </c>
      <c r="I20" s="108"/>
      <c r="J20" s="1"/>
    </row>
    <row r="21" spans="1:10" ht="14.25">
      <c r="A21" s="136" t="s">
        <v>111</v>
      </c>
      <c r="B21" s="195"/>
      <c r="C21" s="28">
        <f>B21*1/62.004</f>
        <v>0</v>
      </c>
      <c r="D21" s="108">
        <f>(C21-$D$6)/$D$6*100</f>
        <v>-100</v>
      </c>
      <c r="E21" s="196" t="s">
        <v>186</v>
      </c>
      <c r="F21" s="136" t="s">
        <v>111</v>
      </c>
      <c r="G21" s="195">
        <v>-20</v>
      </c>
      <c r="H21" s="28">
        <f>G21*1/62.004</f>
        <v>-0.32255983484936457</v>
      </c>
      <c r="I21" s="108">
        <f>(H21-$D$6)/$D$6*100</f>
        <v>-103.00055660324992</v>
      </c>
      <c r="J21" s="1"/>
    </row>
    <row r="22" spans="1:10" ht="14.25">
      <c r="A22" s="136" t="s">
        <v>102</v>
      </c>
      <c r="B22" s="195"/>
      <c r="C22" s="28">
        <f>B22*0.01053</f>
        <v>0</v>
      </c>
      <c r="D22" s="108">
        <f>(C22-$D$7)/$D$7*100</f>
        <v>-100</v>
      </c>
      <c r="E22" s="196" t="s">
        <v>186</v>
      </c>
      <c r="F22" s="136" t="s">
        <v>102</v>
      </c>
      <c r="G22" s="195">
        <v>0.01</v>
      </c>
      <c r="H22" s="28">
        <f>G22*0.01053</f>
        <v>0.0001053</v>
      </c>
      <c r="I22" s="108">
        <f>(H22-$D$7)/$D$7*100</f>
        <v>-99.99157600000001</v>
      </c>
      <c r="J22" s="1"/>
    </row>
    <row r="23" spans="1:10" ht="14.25">
      <c r="A23" s="136" t="s">
        <v>103</v>
      </c>
      <c r="B23" s="195"/>
      <c r="C23" s="28">
        <f>B23/96.056*2</f>
        <v>0</v>
      </c>
      <c r="D23" s="108">
        <f>(C23-$D$8)/$D$8*100</f>
        <v>-100</v>
      </c>
      <c r="E23" s="197" t="s">
        <v>187</v>
      </c>
      <c r="F23" s="136" t="s">
        <v>103</v>
      </c>
      <c r="G23" s="195">
        <v>37.8</v>
      </c>
      <c r="H23" s="28">
        <f>G23/96.056*2</f>
        <v>0.787040892812526</v>
      </c>
      <c r="I23" s="108">
        <f>(H23-$D$8)/$D$8*100</f>
        <v>-73.76530357291581</v>
      </c>
      <c r="J23" s="1"/>
    </row>
    <row r="24" spans="1:10" ht="14.25">
      <c r="A24" s="136" t="s">
        <v>100</v>
      </c>
      <c r="B24" s="195"/>
      <c r="C24" s="28">
        <f>B24/18.039</f>
        <v>0</v>
      </c>
      <c r="D24" s="108">
        <f>(C24-$D$9)/$D$9*100</f>
        <v>-100</v>
      </c>
      <c r="E24" s="196" t="s">
        <v>186</v>
      </c>
      <c r="F24" s="136" t="s">
        <v>100</v>
      </c>
      <c r="G24" s="195">
        <v>0.17</v>
      </c>
      <c r="H24" s="28">
        <f>G24/18.039</f>
        <v>0.009424025722046677</v>
      </c>
      <c r="I24" s="108">
        <f>(H24-$D$9)/$D$9*100</f>
        <v>-99.05759742779533</v>
      </c>
      <c r="J24" s="1"/>
    </row>
    <row r="25" spans="1:10" ht="12.75">
      <c r="A25" s="136" t="s">
        <v>15</v>
      </c>
      <c r="B25" s="195"/>
      <c r="C25" s="28">
        <f>B25/39.102</f>
        <v>0</v>
      </c>
      <c r="D25" s="108">
        <f>(C25-$D$10)/$D$10*100</f>
        <v>-100</v>
      </c>
      <c r="E25" s="196" t="s">
        <v>186</v>
      </c>
      <c r="F25" s="136" t="s">
        <v>15</v>
      </c>
      <c r="G25" s="195">
        <v>2.98</v>
      </c>
      <c r="H25" s="28">
        <f>G25/39.102</f>
        <v>0.07621093550202036</v>
      </c>
      <c r="I25" s="108">
        <f>(H25-$D$10)/$D$10*100</f>
        <v>-98.8275240691997</v>
      </c>
      <c r="J25" s="1"/>
    </row>
    <row r="26" spans="1:10" ht="12.75">
      <c r="A26" s="136" t="s">
        <v>17</v>
      </c>
      <c r="B26" s="195"/>
      <c r="C26" s="28">
        <f>B26/40.08*2</f>
        <v>0</v>
      </c>
      <c r="D26" s="108">
        <f>(C26-$D$11)/$D$11*100</f>
        <v>-100</v>
      </c>
      <c r="E26" s="197" t="s">
        <v>187</v>
      </c>
      <c r="F26" s="136" t="s">
        <v>17</v>
      </c>
      <c r="G26" s="195">
        <v>40.5</v>
      </c>
      <c r="H26" s="28">
        <f>G26/40.08*2</f>
        <v>2.0209580838323356</v>
      </c>
      <c r="I26" s="108">
        <f>(H26-$D$11)/$D$11*100</f>
        <v>-63.255307566684806</v>
      </c>
      <c r="J26" s="1"/>
    </row>
    <row r="27" spans="1:10" ht="12.75">
      <c r="A27" s="136" t="s">
        <v>19</v>
      </c>
      <c r="B27" s="195"/>
      <c r="C27" s="28">
        <f>B27/24.305*2</f>
        <v>0</v>
      </c>
      <c r="D27" s="108">
        <f>(C27-$D$12)/$D$12*100</f>
        <v>-100</v>
      </c>
      <c r="E27" s="196" t="s">
        <v>186</v>
      </c>
      <c r="F27" s="136" t="s">
        <v>19</v>
      </c>
      <c r="G27" s="195">
        <v>8.4</v>
      </c>
      <c r="H27" s="28">
        <f>G27/24.305*2</f>
        <v>0.6912157992182679</v>
      </c>
      <c r="I27" s="108">
        <f>(H27-$D$12)/$D$12*100</f>
        <v>-65.4392100390866</v>
      </c>
      <c r="J27" s="1"/>
    </row>
    <row r="28" spans="1:10" ht="12.75">
      <c r="A28" s="136" t="s">
        <v>25</v>
      </c>
      <c r="B28" s="195"/>
      <c r="C28" s="28">
        <f>B28/22.99</f>
        <v>0</v>
      </c>
      <c r="D28" s="108"/>
      <c r="E28" s="196"/>
      <c r="F28" s="136" t="s">
        <v>25</v>
      </c>
      <c r="G28" s="195">
        <v>4.35</v>
      </c>
      <c r="H28" s="28">
        <f>G28/22.99</f>
        <v>0.18921270117442365</v>
      </c>
      <c r="I28" s="108"/>
      <c r="J28" s="1"/>
    </row>
    <row r="29" spans="1:10" ht="12.75">
      <c r="A29" s="136" t="s">
        <v>26</v>
      </c>
      <c r="B29" s="195"/>
      <c r="C29" s="28">
        <f>B29/35.453</f>
        <v>0</v>
      </c>
      <c r="D29" s="108"/>
      <c r="E29" s="196"/>
      <c r="F29" s="136" t="s">
        <v>26</v>
      </c>
      <c r="G29" s="195">
        <v>-10</v>
      </c>
      <c r="H29" s="28">
        <f>G29/35.453</f>
        <v>-0.2820635771302851</v>
      </c>
      <c r="I29" s="108"/>
      <c r="J29" s="1"/>
    </row>
    <row r="30" spans="1:10" ht="14.25">
      <c r="A30" s="136" t="s">
        <v>104</v>
      </c>
      <c r="B30" s="195"/>
      <c r="C30" s="28">
        <f>B30/61.016</f>
        <v>0</v>
      </c>
      <c r="D30" s="108"/>
      <c r="E30" s="196"/>
      <c r="F30" s="136" t="s">
        <v>104</v>
      </c>
      <c r="G30" s="195">
        <v>119.88</v>
      </c>
      <c r="H30" s="28">
        <f>G30/61.016</f>
        <v>1.9647305624754163</v>
      </c>
      <c r="I30" s="108"/>
      <c r="J30" s="1"/>
    </row>
    <row r="31" spans="1:10" ht="12.75">
      <c r="A31" s="136"/>
      <c r="B31" s="22" t="s">
        <v>3</v>
      </c>
      <c r="C31" s="145" t="s">
        <v>27</v>
      </c>
      <c r="D31" s="108"/>
      <c r="E31" s="198"/>
      <c r="F31" s="136"/>
      <c r="G31" s="22" t="s">
        <v>3</v>
      </c>
      <c r="H31" s="145" t="s">
        <v>27</v>
      </c>
      <c r="I31" s="108"/>
      <c r="J31" s="1"/>
    </row>
    <row r="32" spans="1:10" ht="12.75">
      <c r="A32" s="136" t="s">
        <v>8</v>
      </c>
      <c r="B32" s="142"/>
      <c r="C32" s="28">
        <f>B32/0.0558</f>
        <v>0</v>
      </c>
      <c r="D32" s="108">
        <f>(C32-$G$6)/$G$6*100</f>
        <v>-100</v>
      </c>
      <c r="E32" s="196" t="s">
        <v>186</v>
      </c>
      <c r="F32" s="136" t="s">
        <v>8</v>
      </c>
      <c r="G32" s="142">
        <v>0.01</v>
      </c>
      <c r="H32" s="28">
        <f>G32/0.0558</f>
        <v>0.17921146953405018</v>
      </c>
      <c r="I32" s="108">
        <f>(H32-$G$6)/$G$6*100</f>
        <v>-98.805256869773</v>
      </c>
      <c r="J32" s="1"/>
    </row>
    <row r="33" spans="1:10" ht="12.75">
      <c r="A33" s="136" t="s">
        <v>10</v>
      </c>
      <c r="B33" s="142"/>
      <c r="C33" s="28">
        <f>B33/0.0549</f>
        <v>0</v>
      </c>
      <c r="D33" s="108">
        <f>(C33-$G$7)/$G$7*100</f>
        <v>-100</v>
      </c>
      <c r="E33" s="196" t="s">
        <v>186</v>
      </c>
      <c r="F33" s="136" t="s">
        <v>10</v>
      </c>
      <c r="G33" s="142">
        <v>0</v>
      </c>
      <c r="H33" s="28">
        <f>G33/0.0549</f>
        <v>0</v>
      </c>
      <c r="I33" s="108">
        <f>(H33-$G$7)/$G$7*100</f>
        <v>-100</v>
      </c>
      <c r="J33" s="1"/>
    </row>
    <row r="34" spans="1:10" ht="12.75">
      <c r="A34" s="136" t="s">
        <v>12</v>
      </c>
      <c r="B34" s="142"/>
      <c r="C34" s="28">
        <f>B34/0.0654</f>
        <v>0</v>
      </c>
      <c r="D34" s="108">
        <f>(C34-$G$8)/$G$8*100</f>
        <v>-100</v>
      </c>
      <c r="E34" s="197" t="s">
        <v>187</v>
      </c>
      <c r="F34" s="136" t="s">
        <v>12</v>
      </c>
      <c r="G34" s="142">
        <v>0.07</v>
      </c>
      <c r="H34" s="28">
        <f>G34/0.0654</f>
        <v>1.070336391437309</v>
      </c>
      <c r="I34" s="108">
        <f>(H34-$G$8)/$G$8*100</f>
        <v>-73.24159021406727</v>
      </c>
      <c r="J34" s="1"/>
    </row>
    <row r="35" spans="1:10" ht="12.75">
      <c r="A35" s="136" t="s">
        <v>14</v>
      </c>
      <c r="B35" s="142"/>
      <c r="C35" s="28">
        <f>B35/0.0108</f>
        <v>0</v>
      </c>
      <c r="D35" s="108">
        <f>(C35-$G$9)/$G$9*100</f>
        <v>-100</v>
      </c>
      <c r="E35" s="196" t="s">
        <v>186</v>
      </c>
      <c r="F35" s="136" t="s">
        <v>14</v>
      </c>
      <c r="G35" s="142">
        <v>0.1</v>
      </c>
      <c r="H35" s="28">
        <f>G35/0.0108</f>
        <v>9.25925925925926</v>
      </c>
      <c r="I35" s="108">
        <f>(H35-$G$9)/$G$9*100</f>
        <v>-53.703703703703695</v>
      </c>
      <c r="J35" s="1"/>
    </row>
    <row r="36" spans="1:10" ht="12.75">
      <c r="A36" s="136" t="s">
        <v>16</v>
      </c>
      <c r="B36" s="142"/>
      <c r="C36" s="28">
        <f>B36/0.0635</f>
        <v>0</v>
      </c>
      <c r="D36" s="108">
        <f>(C36-$G$10)/$G$10*100</f>
        <v>-100</v>
      </c>
      <c r="E36" s="197" t="s">
        <v>187</v>
      </c>
      <c r="F36" s="136" t="s">
        <v>16</v>
      </c>
      <c r="G36" s="142">
        <v>0</v>
      </c>
      <c r="H36" s="28">
        <f>G36/0.0635</f>
        <v>0</v>
      </c>
      <c r="I36" s="108">
        <f>(H36-$G$10)/$G$10*100</f>
        <v>-100</v>
      </c>
      <c r="J36" s="1"/>
    </row>
    <row r="37" spans="1:10" ht="12.75">
      <c r="A37" s="136" t="s">
        <v>18</v>
      </c>
      <c r="B37" s="22"/>
      <c r="C37" s="28"/>
      <c r="D37" s="108"/>
      <c r="E37" s="196"/>
      <c r="F37" s="136" t="s">
        <v>18</v>
      </c>
      <c r="G37" s="22"/>
      <c r="H37" s="28"/>
      <c r="I37" s="108"/>
      <c r="J37" s="1"/>
    </row>
    <row r="38" spans="1:10" ht="13.5" thickBot="1">
      <c r="A38" s="36"/>
      <c r="B38" s="37"/>
      <c r="C38" s="37"/>
      <c r="D38" s="57"/>
      <c r="E38" s="1"/>
      <c r="F38" s="36"/>
      <c r="G38" s="37"/>
      <c r="H38" s="37"/>
      <c r="I38" s="57"/>
      <c r="J38" s="1"/>
    </row>
    <row r="39" spans="1:10" ht="13.5" thickBot="1">
      <c r="A39" s="1"/>
      <c r="B39" s="1"/>
      <c r="C39" s="146" t="s">
        <v>80</v>
      </c>
      <c r="D39" s="1"/>
      <c r="E39" s="1"/>
      <c r="F39" s="1"/>
      <c r="G39" s="1"/>
      <c r="H39" s="146" t="s">
        <v>80</v>
      </c>
      <c r="I39" s="1"/>
      <c r="J39" s="1"/>
    </row>
    <row r="40" spans="1:10" ht="13.5" thickTop="1">
      <c r="A40" s="1"/>
      <c r="B40" s="1"/>
      <c r="C40" s="24">
        <f>(C22+C21+C23+C29+C30)-(C27+C26+C25+C24+C28)</f>
        <v>0</v>
      </c>
      <c r="D40" s="1"/>
      <c r="E40" s="1"/>
      <c r="F40" s="1"/>
      <c r="G40" s="1"/>
      <c r="H40" s="24">
        <f>(H22+H21+H23+H29+H30)-(H27+H26+H25+H24+H28)</f>
        <v>-0.8397682021408017</v>
      </c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45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1" customWidth="1"/>
    <col min="2" max="16384" width="11.421875" style="1" customWidth="1"/>
  </cols>
  <sheetData>
    <row r="1" spans="1:14" ht="12.75">
      <c r="A1" s="18" t="s">
        <v>206</v>
      </c>
      <c r="B1" s="9"/>
      <c r="C1" s="9"/>
      <c r="D1" s="9"/>
      <c r="E1" s="9"/>
      <c r="F1" s="9"/>
      <c r="G1" s="9"/>
      <c r="H1" s="9"/>
      <c r="I1" s="9"/>
      <c r="J1" s="9"/>
      <c r="K1" s="200" t="s">
        <v>195</v>
      </c>
      <c r="L1" s="9"/>
      <c r="M1"/>
      <c r="N1"/>
    </row>
    <row r="2" spans="1:14" ht="13.5" thickBot="1">
      <c r="A2" s="18" t="s">
        <v>188</v>
      </c>
      <c r="B2" s="9"/>
      <c r="C2" s="201"/>
      <c r="D2" s="9"/>
      <c r="E2" s="9"/>
      <c r="F2" s="9"/>
      <c r="G2" s="9"/>
      <c r="H2" s="9"/>
      <c r="I2" s="9"/>
      <c r="J2" s="9"/>
      <c r="K2" s="9"/>
      <c r="L2" s="9"/>
      <c r="M2"/>
      <c r="N2"/>
    </row>
    <row r="3" spans="1:14" ht="14.25">
      <c r="A3" s="79" t="s">
        <v>28</v>
      </c>
      <c r="B3" s="80" t="s">
        <v>15</v>
      </c>
      <c r="C3" s="80" t="s">
        <v>17</v>
      </c>
      <c r="D3" s="80" t="s">
        <v>19</v>
      </c>
      <c r="E3" s="80" t="s">
        <v>100</v>
      </c>
      <c r="F3" s="80" t="s">
        <v>101</v>
      </c>
      <c r="G3" s="80" t="s">
        <v>102</v>
      </c>
      <c r="H3" s="81" t="s">
        <v>103</v>
      </c>
      <c r="I3" s="202"/>
      <c r="J3" s="202"/>
      <c r="K3" s="203"/>
      <c r="L3" s="202"/>
      <c r="M3" s="202"/>
      <c r="N3"/>
    </row>
    <row r="4" spans="1:14" ht="12.75">
      <c r="A4" s="73" t="s">
        <v>31</v>
      </c>
      <c r="B4" s="204">
        <v>3</v>
      </c>
      <c r="C4" s="204">
        <v>7.3</v>
      </c>
      <c r="D4" s="204">
        <v>4</v>
      </c>
      <c r="E4" s="204">
        <v>0.7</v>
      </c>
      <c r="F4" s="204">
        <v>10.75</v>
      </c>
      <c r="G4" s="204">
        <v>1.25</v>
      </c>
      <c r="H4" s="205">
        <v>3</v>
      </c>
      <c r="I4" s="15" t="s">
        <v>208</v>
      </c>
      <c r="J4" s="15"/>
      <c r="K4" s="14"/>
      <c r="L4" s="202"/>
      <c r="M4" s="202"/>
      <c r="N4"/>
    </row>
    <row r="5" spans="1:14" ht="12.75">
      <c r="A5" s="74" t="s">
        <v>96</v>
      </c>
      <c r="B5" s="206"/>
      <c r="C5" s="206"/>
      <c r="D5" s="206"/>
      <c r="E5" s="206"/>
      <c r="F5" s="206"/>
      <c r="G5" s="206"/>
      <c r="H5" s="207"/>
      <c r="I5" s="15"/>
      <c r="J5" s="15"/>
      <c r="K5" s="203"/>
      <c r="L5" s="202"/>
      <c r="M5" s="202"/>
      <c r="N5"/>
    </row>
    <row r="6" spans="1:14" ht="12.75">
      <c r="A6" s="76" t="s">
        <v>33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147">
        <v>100</v>
      </c>
      <c r="I6" s="91" t="s">
        <v>116</v>
      </c>
      <c r="J6" s="15"/>
      <c r="K6" s="14"/>
      <c r="L6" s="202"/>
      <c r="M6" s="202"/>
      <c r="N6"/>
    </row>
    <row r="7" spans="1:14" ht="12.75">
      <c r="A7" s="73" t="s">
        <v>34</v>
      </c>
      <c r="B7" s="28">
        <f aca="true" t="shared" si="0" ref="B7:H7">(B4*B6)/100</f>
        <v>3</v>
      </c>
      <c r="C7" s="28">
        <f t="shared" si="0"/>
        <v>7.3</v>
      </c>
      <c r="D7" s="28">
        <f t="shared" si="0"/>
        <v>4</v>
      </c>
      <c r="E7" s="28">
        <f t="shared" si="0"/>
        <v>0.7</v>
      </c>
      <c r="F7" s="28">
        <f t="shared" si="0"/>
        <v>10.75</v>
      </c>
      <c r="G7" s="28">
        <f t="shared" si="0"/>
        <v>1.25</v>
      </c>
      <c r="H7" s="66">
        <f t="shared" si="0"/>
        <v>3</v>
      </c>
      <c r="I7" s="15"/>
      <c r="J7" s="15"/>
      <c r="K7" s="15"/>
      <c r="L7" s="15"/>
      <c r="M7" s="202"/>
      <c r="N7"/>
    </row>
    <row r="8" spans="1:14" ht="12.75">
      <c r="A8" s="95" t="s">
        <v>53</v>
      </c>
      <c r="B8" s="88">
        <v>0.04</v>
      </c>
      <c r="C8" s="88">
        <v>1.71</v>
      </c>
      <c r="D8" s="88">
        <v>0.5</v>
      </c>
      <c r="E8" s="88">
        <v>0.03</v>
      </c>
      <c r="F8" s="88">
        <v>0.81</v>
      </c>
      <c r="G8" s="88">
        <v>0.01</v>
      </c>
      <c r="H8" s="96">
        <v>2.08</v>
      </c>
      <c r="I8" s="15"/>
      <c r="J8" s="15"/>
      <c r="K8" s="15"/>
      <c r="L8" s="15"/>
      <c r="M8" s="202"/>
      <c r="N8"/>
    </row>
    <row r="9" spans="1:14" ht="13.5" thickBot="1">
      <c r="A9" s="78" t="s">
        <v>91</v>
      </c>
      <c r="B9" s="208">
        <f aca="true" t="shared" si="1" ref="B9:H9">B7-B8</f>
        <v>2.96</v>
      </c>
      <c r="C9" s="208">
        <f t="shared" si="1"/>
        <v>5.59</v>
      </c>
      <c r="D9" s="208">
        <f t="shared" si="1"/>
        <v>3.5</v>
      </c>
      <c r="E9" s="208">
        <f t="shared" si="1"/>
        <v>0.6699999999999999</v>
      </c>
      <c r="F9" s="208">
        <f t="shared" si="1"/>
        <v>9.94</v>
      </c>
      <c r="G9" s="208">
        <f t="shared" si="1"/>
        <v>1.24</v>
      </c>
      <c r="H9" s="209">
        <f t="shared" si="1"/>
        <v>0.9199999999999999</v>
      </c>
      <c r="I9" s="15"/>
      <c r="J9" s="15"/>
      <c r="K9" s="15"/>
      <c r="L9" s="15"/>
      <c r="M9" s="202"/>
      <c r="N9"/>
    </row>
    <row r="10" spans="1:14" ht="15" customHeight="1">
      <c r="A10" s="71"/>
      <c r="B10" s="30"/>
      <c r="C10" s="30"/>
      <c r="D10" s="30"/>
      <c r="E10" s="30"/>
      <c r="F10" s="30"/>
      <c r="G10" s="30"/>
      <c r="H10" s="30"/>
      <c r="I10" s="418" t="s">
        <v>29</v>
      </c>
      <c r="J10" s="420" t="s">
        <v>3</v>
      </c>
      <c r="K10" s="422" t="s">
        <v>30</v>
      </c>
      <c r="L10" s="15"/>
      <c r="M10" s="202"/>
      <c r="N10"/>
    </row>
    <row r="11" spans="1:14" ht="12.75">
      <c r="A11" s="73"/>
      <c r="B11" s="22"/>
      <c r="C11" s="22"/>
      <c r="D11" s="22"/>
      <c r="E11" s="22"/>
      <c r="F11" s="22"/>
      <c r="G11" s="22"/>
      <c r="H11" s="22"/>
      <c r="I11" s="419"/>
      <c r="J11" s="421"/>
      <c r="K11" s="423"/>
      <c r="L11" s="15"/>
      <c r="M11" s="202"/>
      <c r="N11"/>
    </row>
    <row r="12" spans="1:14" ht="15.75">
      <c r="A12" s="98" t="s">
        <v>37</v>
      </c>
      <c r="B12" s="150"/>
      <c r="C12" s="150"/>
      <c r="D12" s="150"/>
      <c r="E12" s="150"/>
      <c r="F12" s="157">
        <f>J30</f>
        <v>1.77</v>
      </c>
      <c r="G12" s="150"/>
      <c r="H12" s="150"/>
      <c r="I12" s="82">
        <v>63</v>
      </c>
      <c r="J12" s="82">
        <f>F12*I12</f>
        <v>111.51</v>
      </c>
      <c r="K12" s="152">
        <f>(J12/0.822)/1000</f>
        <v>0.13565693430656936</v>
      </c>
      <c r="L12" s="15"/>
      <c r="M12" s="202"/>
      <c r="N12"/>
    </row>
    <row r="13" spans="1:14" ht="15.75">
      <c r="A13" s="73" t="s">
        <v>38</v>
      </c>
      <c r="B13" s="85">
        <f>G13</f>
        <v>1.24</v>
      </c>
      <c r="C13" s="85"/>
      <c r="D13" s="85"/>
      <c r="E13" s="85"/>
      <c r="F13" s="85"/>
      <c r="G13" s="153">
        <v>1.24</v>
      </c>
      <c r="H13" s="85"/>
      <c r="I13" s="28">
        <v>136</v>
      </c>
      <c r="J13" s="28">
        <f>G13*I13</f>
        <v>168.64</v>
      </c>
      <c r="K13" s="66"/>
      <c r="L13" s="15"/>
      <c r="M13" s="202"/>
      <c r="N13"/>
    </row>
    <row r="14" spans="1:14" ht="12.75">
      <c r="A14" s="73" t="s">
        <v>39</v>
      </c>
      <c r="B14" s="85"/>
      <c r="C14" s="178">
        <v>5.59</v>
      </c>
      <c r="D14" s="85"/>
      <c r="E14" s="85">
        <f>C14*0.1</f>
        <v>0.559</v>
      </c>
      <c r="F14" s="85">
        <f>C14+(C14*0.1)</f>
        <v>6.149</v>
      </c>
      <c r="G14" s="85"/>
      <c r="H14" s="85"/>
      <c r="I14" s="28">
        <v>108</v>
      </c>
      <c r="J14" s="28">
        <f>C14*I14</f>
        <v>603.72</v>
      </c>
      <c r="K14" s="66"/>
      <c r="L14" s="15"/>
      <c r="M14" s="202"/>
      <c r="N14"/>
    </row>
    <row r="15" spans="1:14" ht="15.75">
      <c r="A15" s="73" t="s">
        <v>40</v>
      </c>
      <c r="B15" s="85"/>
      <c r="C15" s="85"/>
      <c r="D15" s="153">
        <v>1.11</v>
      </c>
      <c r="E15" s="85"/>
      <c r="F15" s="85">
        <f>D15</f>
        <v>1.11</v>
      </c>
      <c r="G15" s="85"/>
      <c r="H15" s="85"/>
      <c r="I15" s="28">
        <v>128</v>
      </c>
      <c r="J15" s="28">
        <f>D15*I15</f>
        <v>142.08</v>
      </c>
      <c r="K15" s="66"/>
      <c r="L15" s="15"/>
      <c r="M15" s="202"/>
      <c r="N15"/>
    </row>
    <row r="16" spans="1:14" ht="15.75">
      <c r="A16" s="73" t="s">
        <v>41</v>
      </c>
      <c r="B16" s="85"/>
      <c r="C16" s="85"/>
      <c r="D16" s="85">
        <f>D9-D15</f>
        <v>2.3899999999999997</v>
      </c>
      <c r="E16" s="85"/>
      <c r="F16" s="85"/>
      <c r="G16" s="85"/>
      <c r="H16" s="85">
        <f>D16</f>
        <v>2.3899999999999997</v>
      </c>
      <c r="I16" s="28">
        <v>123</v>
      </c>
      <c r="J16" s="28">
        <f>D16*I16</f>
        <v>293.96999999999997</v>
      </c>
      <c r="K16" s="66"/>
      <c r="L16" s="15"/>
      <c r="M16" s="202"/>
      <c r="N16"/>
    </row>
    <row r="17" spans="1:14" ht="15.75">
      <c r="A17" s="73" t="s">
        <v>42</v>
      </c>
      <c r="B17" s="154">
        <v>0.8</v>
      </c>
      <c r="C17" s="85"/>
      <c r="D17" s="85"/>
      <c r="E17" s="85"/>
      <c r="F17" s="85">
        <f>B17</f>
        <v>0.8</v>
      </c>
      <c r="G17" s="85"/>
      <c r="H17" s="85"/>
      <c r="I17" s="28">
        <v>101</v>
      </c>
      <c r="J17" s="28">
        <f>B17*I17</f>
        <v>80.80000000000001</v>
      </c>
      <c r="K17" s="66"/>
      <c r="L17" s="15"/>
      <c r="M17" s="202"/>
      <c r="N17"/>
    </row>
    <row r="18" spans="1:14" ht="15.75">
      <c r="A18" s="73" t="s">
        <v>43</v>
      </c>
      <c r="B18" s="85"/>
      <c r="C18" s="85"/>
      <c r="D18" s="85"/>
      <c r="E18" s="178">
        <v>0.11</v>
      </c>
      <c r="F18" s="85">
        <f>E18</f>
        <v>0.11</v>
      </c>
      <c r="G18" s="85"/>
      <c r="H18" s="85"/>
      <c r="I18" s="28">
        <v>80</v>
      </c>
      <c r="J18" s="28">
        <f>E18*I18</f>
        <v>8.8</v>
      </c>
      <c r="K18" s="66"/>
      <c r="L18" s="15"/>
      <c r="M18" s="202"/>
      <c r="N18"/>
    </row>
    <row r="19" spans="1:14" ht="15.75">
      <c r="A19" s="73" t="s">
        <v>44</v>
      </c>
      <c r="B19" s="85">
        <f>B9-B13-B17</f>
        <v>0.9199999999999999</v>
      </c>
      <c r="C19" s="85"/>
      <c r="D19" s="85"/>
      <c r="E19" s="85"/>
      <c r="F19" s="85"/>
      <c r="G19" s="85"/>
      <c r="H19" s="85">
        <f>B19</f>
        <v>0.9199999999999999</v>
      </c>
      <c r="I19" s="28">
        <v>87</v>
      </c>
      <c r="J19" s="28">
        <f>B19*I19</f>
        <v>80.03999999999999</v>
      </c>
      <c r="K19" s="66"/>
      <c r="L19" s="15"/>
      <c r="M19" s="202"/>
      <c r="N19"/>
    </row>
    <row r="20" spans="1:14" ht="16.5" thickBot="1">
      <c r="A20" s="78" t="s">
        <v>45</v>
      </c>
      <c r="B20" s="151"/>
      <c r="C20" s="151"/>
      <c r="D20" s="151"/>
      <c r="E20" s="155"/>
      <c r="F20" s="151"/>
      <c r="G20" s="151"/>
      <c r="H20" s="151">
        <f>E20</f>
        <v>0</v>
      </c>
      <c r="I20" s="46">
        <v>66</v>
      </c>
      <c r="J20" s="100">
        <f>E20*I20</f>
        <v>0</v>
      </c>
      <c r="K20" s="38"/>
      <c r="L20" s="15"/>
      <c r="M20" s="202"/>
      <c r="N20"/>
    </row>
    <row r="21" spans="1:14" ht="12.75">
      <c r="A21" s="83"/>
      <c r="B21" s="28"/>
      <c r="C21" s="28"/>
      <c r="D21" s="28"/>
      <c r="E21" s="28"/>
      <c r="F21" s="28"/>
      <c r="G21" s="28"/>
      <c r="H21" s="28"/>
      <c r="I21" s="28"/>
      <c r="J21" s="28">
        <f>SUM(J12:J20)</f>
        <v>1489.56</v>
      </c>
      <c r="K21" s="97" t="s">
        <v>24</v>
      </c>
      <c r="L21" s="15"/>
      <c r="M21" s="202"/>
      <c r="N21"/>
    </row>
    <row r="22" spans="1:14" ht="12.75">
      <c r="A22" s="83" t="s">
        <v>92</v>
      </c>
      <c r="B22" s="210">
        <f>(B13+B17+B19)</f>
        <v>2.96</v>
      </c>
      <c r="C22" s="210">
        <f>C14</f>
        <v>5.59</v>
      </c>
      <c r="D22" s="210">
        <f>(D15+D16)</f>
        <v>3.5</v>
      </c>
      <c r="E22" s="210">
        <f>(E14+E18+E20)</f>
        <v>0.669</v>
      </c>
      <c r="F22" s="210">
        <f>(F12+F14+F15+F17+F18)</f>
        <v>9.939</v>
      </c>
      <c r="G22" s="210">
        <f>G13</f>
        <v>1.24</v>
      </c>
      <c r="H22" s="210">
        <f>(H16+H19+H20)</f>
        <v>3.3099999999999996</v>
      </c>
      <c r="I22" s="28"/>
      <c r="K22" s="84">
        <f>(J21/0.7)/1000</f>
        <v>2.127942857142857</v>
      </c>
      <c r="L22" s="211"/>
      <c r="M22" s="202"/>
      <c r="N22"/>
    </row>
    <row r="23" spans="1:14" ht="12.75">
      <c r="A23" s="89" t="s">
        <v>93</v>
      </c>
      <c r="B23" s="28">
        <f aca="true" t="shared" si="2" ref="B23:H23">(B22-B9)/B9*100</f>
        <v>0</v>
      </c>
      <c r="C23" s="28">
        <f t="shared" si="2"/>
        <v>0</v>
      </c>
      <c r="D23" s="28">
        <f t="shared" si="2"/>
        <v>0</v>
      </c>
      <c r="E23" s="28">
        <f t="shared" si="2"/>
        <v>-0.14925373134326717</v>
      </c>
      <c r="F23" s="28">
        <f t="shared" si="2"/>
        <v>-0.010060362173032654</v>
      </c>
      <c r="G23" s="28">
        <f t="shared" si="2"/>
        <v>0</v>
      </c>
      <c r="H23" s="28">
        <f t="shared" si="2"/>
        <v>259.78260869565213</v>
      </c>
      <c r="I23" s="28"/>
      <c r="J23" s="210" t="s">
        <v>78</v>
      </c>
      <c r="K23" s="408" t="s">
        <v>73</v>
      </c>
      <c r="L23" s="1" t="s">
        <v>211</v>
      </c>
      <c r="M23" s="202"/>
      <c r="N23"/>
    </row>
    <row r="24" spans="1:14" ht="12.75">
      <c r="A24" s="87" t="s">
        <v>49</v>
      </c>
      <c r="B24" s="213">
        <f aca="true" t="shared" si="3" ref="B24:H24">B22+B8</f>
        <v>3</v>
      </c>
      <c r="C24" s="213">
        <f t="shared" si="3"/>
        <v>7.3</v>
      </c>
      <c r="D24" s="213">
        <f t="shared" si="3"/>
        <v>4</v>
      </c>
      <c r="E24" s="213">
        <f t="shared" si="3"/>
        <v>0.6990000000000001</v>
      </c>
      <c r="F24" s="213">
        <f t="shared" si="3"/>
        <v>10.749</v>
      </c>
      <c r="G24" s="213">
        <f t="shared" si="3"/>
        <v>1.25</v>
      </c>
      <c r="H24" s="213">
        <f t="shared" si="3"/>
        <v>5.39</v>
      </c>
      <c r="I24" s="90"/>
      <c r="J24" s="409">
        <f>B24/C24</f>
        <v>0.4109589041095891</v>
      </c>
      <c r="K24" s="410">
        <f>B24/(C24+D24)</f>
        <v>0.2654867256637168</v>
      </c>
      <c r="L24" s="15"/>
      <c r="M24" s="202"/>
      <c r="N24"/>
    </row>
    <row r="25" spans="12:14" ht="12.75">
      <c r="L25" s="15"/>
      <c r="M25" s="202"/>
      <c r="N25"/>
    </row>
    <row r="26" spans="1:14" ht="13.5" thickBot="1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L26" s="15"/>
      <c r="M26" s="202"/>
      <c r="N26"/>
    </row>
    <row r="27" spans="1:14" ht="14.25">
      <c r="A27" s="113" t="s">
        <v>28</v>
      </c>
      <c r="B27" s="80" t="s">
        <v>8</v>
      </c>
      <c r="C27" s="80" t="s">
        <v>10</v>
      </c>
      <c r="D27" s="80" t="s">
        <v>12</v>
      </c>
      <c r="E27" s="80" t="s">
        <v>14</v>
      </c>
      <c r="F27" s="80" t="s">
        <v>16</v>
      </c>
      <c r="G27" s="80" t="s">
        <v>18</v>
      </c>
      <c r="H27" s="80" t="s">
        <v>25</v>
      </c>
      <c r="I27" s="80" t="s">
        <v>26</v>
      </c>
      <c r="J27" s="81" t="s">
        <v>104</v>
      </c>
      <c r="M27"/>
      <c r="N27"/>
    </row>
    <row r="28" spans="1:14" ht="12.75">
      <c r="A28" s="40" t="s">
        <v>76</v>
      </c>
      <c r="B28" s="216">
        <v>15</v>
      </c>
      <c r="C28" s="216">
        <v>10</v>
      </c>
      <c r="D28" s="216">
        <v>4</v>
      </c>
      <c r="E28" s="216">
        <v>30</v>
      </c>
      <c r="F28" s="216">
        <v>0.75</v>
      </c>
      <c r="G28" s="216">
        <v>0.5</v>
      </c>
      <c r="H28" s="22"/>
      <c r="I28" s="22"/>
      <c r="J28" s="41"/>
      <c r="K28" s="15" t="s">
        <v>208</v>
      </c>
      <c r="M28"/>
      <c r="N28"/>
    </row>
    <row r="29" spans="1:14" ht="12.75">
      <c r="A29" s="40" t="s">
        <v>77</v>
      </c>
      <c r="B29" s="134">
        <v>0.18</v>
      </c>
      <c r="C29" s="91">
        <v>0</v>
      </c>
      <c r="D29" s="91">
        <v>0.15</v>
      </c>
      <c r="E29" s="91">
        <v>0.93</v>
      </c>
      <c r="F29" s="91">
        <v>0</v>
      </c>
      <c r="G29" s="91">
        <v>0</v>
      </c>
      <c r="H29" s="214"/>
      <c r="I29" s="214"/>
      <c r="J29" s="215"/>
      <c r="M29"/>
      <c r="N29"/>
    </row>
    <row r="30" spans="1:14" ht="12.75">
      <c r="A30" s="40" t="s">
        <v>53</v>
      </c>
      <c r="B30" s="86"/>
      <c r="C30" s="86"/>
      <c r="D30" s="86"/>
      <c r="E30" s="86"/>
      <c r="F30" s="86"/>
      <c r="G30" s="86"/>
      <c r="H30" s="91">
        <v>0.12</v>
      </c>
      <c r="I30" s="91">
        <v>0.71</v>
      </c>
      <c r="J30" s="101">
        <v>1.77</v>
      </c>
      <c r="M30"/>
      <c r="N30"/>
    </row>
    <row r="31" spans="1:14" ht="12.75">
      <c r="A31" s="40" t="s">
        <v>54</v>
      </c>
      <c r="B31" s="22">
        <v>0.5</v>
      </c>
      <c r="C31" s="22">
        <v>0.1</v>
      </c>
      <c r="D31" s="22">
        <v>0.1</v>
      </c>
      <c r="E31" s="22">
        <v>0.1</v>
      </c>
      <c r="F31" s="22">
        <v>0.1</v>
      </c>
      <c r="G31" s="22">
        <v>0.1</v>
      </c>
      <c r="H31" s="21"/>
      <c r="I31" s="21"/>
      <c r="J31" s="56"/>
      <c r="K31" s="1" t="s">
        <v>209</v>
      </c>
      <c r="M31"/>
      <c r="N31"/>
    </row>
    <row r="32" spans="1:14" ht="12.75">
      <c r="A32" s="61" t="s">
        <v>33</v>
      </c>
      <c r="B32" s="174">
        <v>100</v>
      </c>
      <c r="C32" s="174">
        <v>100</v>
      </c>
      <c r="D32" s="174">
        <v>96</v>
      </c>
      <c r="E32" s="174">
        <v>97</v>
      </c>
      <c r="F32" s="174">
        <v>100</v>
      </c>
      <c r="G32" s="174">
        <v>100</v>
      </c>
      <c r="H32" s="26"/>
      <c r="I32" s="26"/>
      <c r="J32" s="62"/>
      <c r="K32" s="91" t="s">
        <v>207</v>
      </c>
      <c r="L32" s="11"/>
      <c r="M32"/>
      <c r="N32"/>
    </row>
    <row r="33" spans="1:14" ht="12.75">
      <c r="A33" s="40" t="s">
        <v>54</v>
      </c>
      <c r="B33" s="22">
        <f aca="true" t="shared" si="4" ref="B33:G33">(B31*B32)/100</f>
        <v>0.5</v>
      </c>
      <c r="C33" s="22">
        <f t="shared" si="4"/>
        <v>0.1</v>
      </c>
      <c r="D33" s="22">
        <f t="shared" si="4"/>
        <v>0.09600000000000002</v>
      </c>
      <c r="E33" s="22">
        <f t="shared" si="4"/>
        <v>0.09700000000000002</v>
      </c>
      <c r="F33" s="22">
        <f t="shared" si="4"/>
        <v>0.1</v>
      </c>
      <c r="G33" s="22">
        <f t="shared" si="4"/>
        <v>0.1</v>
      </c>
      <c r="H33" s="21"/>
      <c r="I33" s="21"/>
      <c r="J33" s="56"/>
      <c r="M33"/>
      <c r="N33"/>
    </row>
    <row r="34" spans="1:14" ht="12.75">
      <c r="A34" s="158" t="s">
        <v>74</v>
      </c>
      <c r="B34" s="94">
        <f aca="true" t="shared" si="5" ref="B34:G34">(B32*B28)/100</f>
        <v>15</v>
      </c>
      <c r="C34" s="94">
        <f t="shared" si="5"/>
        <v>10</v>
      </c>
      <c r="D34" s="94">
        <f t="shared" si="5"/>
        <v>3.84</v>
      </c>
      <c r="E34" s="94">
        <f t="shared" si="5"/>
        <v>29.1</v>
      </c>
      <c r="F34" s="94">
        <f t="shared" si="5"/>
        <v>0.75</v>
      </c>
      <c r="G34" s="94">
        <f t="shared" si="5"/>
        <v>0.5</v>
      </c>
      <c r="H34" s="92"/>
      <c r="I34" s="92"/>
      <c r="J34" s="159"/>
      <c r="K34" s="10"/>
      <c r="L34" s="10"/>
      <c r="M34"/>
      <c r="N34"/>
    </row>
    <row r="35" spans="1:14" ht="12.75">
      <c r="A35" s="40" t="s">
        <v>56</v>
      </c>
      <c r="B35" s="156">
        <f aca="true" t="shared" si="6" ref="B35:G35">B34+B29</f>
        <v>15.18</v>
      </c>
      <c r="C35" s="156">
        <f t="shared" si="6"/>
        <v>10</v>
      </c>
      <c r="D35" s="156">
        <f t="shared" si="6"/>
        <v>3.9899999999999998</v>
      </c>
      <c r="E35" s="156">
        <f t="shared" si="6"/>
        <v>30.03</v>
      </c>
      <c r="F35" s="156">
        <f t="shared" si="6"/>
        <v>0.75</v>
      </c>
      <c r="G35" s="156">
        <f t="shared" si="6"/>
        <v>0.5</v>
      </c>
      <c r="H35" s="162"/>
      <c r="I35" s="162"/>
      <c r="J35" s="163"/>
      <c r="K35" s="1" t="s">
        <v>210</v>
      </c>
      <c r="M35"/>
      <c r="N35"/>
    </row>
    <row r="36" spans="1:14" ht="12.75">
      <c r="A36" s="102" t="s">
        <v>96</v>
      </c>
      <c r="B36" s="75"/>
      <c r="C36" s="75"/>
      <c r="D36" s="75"/>
      <c r="E36" s="75"/>
      <c r="F36" s="75"/>
      <c r="G36" s="75"/>
      <c r="H36" s="92"/>
      <c r="I36" s="92"/>
      <c r="J36" s="159"/>
      <c r="K36" s="10"/>
      <c r="L36" s="10"/>
      <c r="M36"/>
      <c r="N36"/>
    </row>
    <row r="37" spans="1:14" ht="12.75">
      <c r="A37" s="160" t="s">
        <v>75</v>
      </c>
      <c r="B37" s="22">
        <v>15</v>
      </c>
      <c r="C37" s="22">
        <v>10</v>
      </c>
      <c r="D37" s="22">
        <v>4</v>
      </c>
      <c r="E37" s="22">
        <v>30</v>
      </c>
      <c r="F37" s="22">
        <v>0.75</v>
      </c>
      <c r="G37" s="22">
        <v>0.5</v>
      </c>
      <c r="H37" s="21"/>
      <c r="I37" s="21"/>
      <c r="J37" s="56"/>
      <c r="M37"/>
      <c r="N37"/>
    </row>
    <row r="38" spans="1:14" ht="13.5" thickBot="1">
      <c r="A38" s="161" t="s">
        <v>58</v>
      </c>
      <c r="B38" s="103">
        <f aca="true" t="shared" si="7" ref="B38:G38">B35/B37*100</f>
        <v>101.2</v>
      </c>
      <c r="C38" s="103">
        <f t="shared" si="7"/>
        <v>100</v>
      </c>
      <c r="D38" s="103">
        <f t="shared" si="7"/>
        <v>99.75</v>
      </c>
      <c r="E38" s="103">
        <f t="shared" si="7"/>
        <v>100.10000000000001</v>
      </c>
      <c r="F38" s="103">
        <f t="shared" si="7"/>
        <v>100</v>
      </c>
      <c r="G38" s="103">
        <f t="shared" si="7"/>
        <v>100</v>
      </c>
      <c r="H38" s="37"/>
      <c r="I38" s="37"/>
      <c r="J38" s="57"/>
      <c r="K38" s="1" t="s">
        <v>212</v>
      </c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/>
    </row>
    <row r="45" spans="1:14" ht="12.75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/>
    </row>
  </sheetData>
  <sheetProtection password="8669" sheet="1" objects="1" scenarios="1"/>
  <mergeCells count="3">
    <mergeCell ref="I10:I11"/>
    <mergeCell ref="J10:J11"/>
    <mergeCell ref="K10:K11"/>
  </mergeCells>
  <printOptions gridLines="1"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90" r:id="rId1"/>
  <headerFooter alignWithMargins="0">
    <oddHeader>&amp;C&amp;"Arial,Normal"&amp;8Saturation des nattes: tomate 2004</oddHeader>
    <oddFooter>&amp;L&amp;"Arial,Normal"&amp;8VG/&amp;F/&amp;A&amp;RChâteauneuf&amp;D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54"/>
  <sheetViews>
    <sheetView showGridLines="0" workbookViewId="0" topLeftCell="A1">
      <selection activeCell="B32" sqref="B32"/>
    </sheetView>
  </sheetViews>
  <sheetFormatPr defaultColWidth="11.421875" defaultRowHeight="12.75"/>
  <cols>
    <col min="1" max="1" width="60.421875" style="1" customWidth="1"/>
    <col min="2" max="16384" width="11.421875" style="1" customWidth="1"/>
  </cols>
  <sheetData>
    <row r="1" spans="1:4" ht="13.5">
      <c r="A1" s="7" t="s">
        <v>97</v>
      </c>
      <c r="D1" s="192" t="s">
        <v>178</v>
      </c>
    </row>
    <row r="2" ht="13.5">
      <c r="D2" s="193" t="s">
        <v>179</v>
      </c>
    </row>
    <row r="3" ht="12.75">
      <c r="A3" s="16" t="s">
        <v>94</v>
      </c>
    </row>
    <row r="5" ht="12.75">
      <c r="A5" s="20" t="s">
        <v>98</v>
      </c>
    </row>
    <row r="6" ht="13.5" thickBot="1"/>
    <row r="7" spans="1:5" ht="16.5" thickBot="1">
      <c r="A7" s="17" t="s">
        <v>182</v>
      </c>
      <c r="B7" s="424" t="s">
        <v>106</v>
      </c>
      <c r="C7" s="425"/>
      <c r="D7" s="118">
        <v>40</v>
      </c>
      <c r="E7" s="127"/>
    </row>
    <row r="8" ht="13.5" thickBot="1">
      <c r="A8" s="1" t="str">
        <f>'Fertnat PalmecoMix'!A2</f>
        <v>(Analyse eau du puit du 06.07.2005)</v>
      </c>
    </row>
    <row r="9" spans="1:5" ht="51.75" thickBot="1">
      <c r="A9" s="114" t="s">
        <v>59</v>
      </c>
      <c r="B9" s="115" t="s">
        <v>3</v>
      </c>
      <c r="C9" s="116" t="s">
        <v>180</v>
      </c>
      <c r="D9" s="119" t="s">
        <v>181</v>
      </c>
      <c r="E9" s="127"/>
    </row>
    <row r="10" spans="1:5" ht="12.75">
      <c r="A10" s="40"/>
      <c r="B10" s="22"/>
      <c r="C10" s="105"/>
      <c r="D10" s="40"/>
      <c r="E10" s="128"/>
    </row>
    <row r="11" spans="1:5" ht="12.75">
      <c r="A11" s="106" t="s">
        <v>61</v>
      </c>
      <c r="B11" s="22"/>
      <c r="C11" s="105"/>
      <c r="D11" s="40"/>
      <c r="E11" s="120"/>
    </row>
    <row r="12" spans="1:5" ht="12.75">
      <c r="A12" s="40"/>
      <c r="B12" s="22"/>
      <c r="C12" s="105"/>
      <c r="D12" s="40"/>
      <c r="E12" s="120"/>
    </row>
    <row r="13" spans="1:5" ht="15.75">
      <c r="A13" s="40" t="s">
        <v>117</v>
      </c>
      <c r="B13" s="28">
        <f>'Fertnat PalmecoMix'!$J$13</f>
        <v>168.64</v>
      </c>
      <c r="C13" s="107">
        <f>B13*0.3</f>
        <v>50.59199999999999</v>
      </c>
      <c r="D13" s="129">
        <f>C13*$D$7/1000</f>
        <v>2.0236799999999997</v>
      </c>
      <c r="E13" s="130"/>
    </row>
    <row r="14" spans="1:5" ht="15.75">
      <c r="A14" s="40" t="s">
        <v>119</v>
      </c>
      <c r="B14" s="28">
        <v>0</v>
      </c>
      <c r="C14" s="107">
        <f aca="true" t="shared" si="0" ref="C14:C19">B14*0.3</f>
        <v>0</v>
      </c>
      <c r="D14" s="129">
        <f aca="true" t="shared" si="1" ref="D14:D19">C14*$D$7/1000</f>
        <v>0</v>
      </c>
      <c r="E14" s="130"/>
    </row>
    <row r="15" spans="1:5" ht="15.75">
      <c r="A15" s="40" t="s">
        <v>62</v>
      </c>
      <c r="B15" s="28">
        <f>'Fertnat PalmecoMix'!$J$15</f>
        <v>142.08</v>
      </c>
      <c r="C15" s="107">
        <f t="shared" si="0"/>
        <v>42.624</v>
      </c>
      <c r="D15" s="129">
        <f t="shared" si="1"/>
        <v>1.70496</v>
      </c>
      <c r="E15" s="130"/>
    </row>
    <row r="16" spans="1:5" ht="15.75">
      <c r="A16" s="40" t="s">
        <v>63</v>
      </c>
      <c r="B16" s="28">
        <f>'Fertnat PalmecoMix'!$J$16</f>
        <v>293.96999999999997</v>
      </c>
      <c r="C16" s="107">
        <f t="shared" si="0"/>
        <v>88.19099999999999</v>
      </c>
      <c r="D16" s="129">
        <f t="shared" si="1"/>
        <v>3.5276399999999994</v>
      </c>
      <c r="E16" s="130"/>
    </row>
    <row r="17" spans="1:5" ht="15.75">
      <c r="A17" s="40" t="s">
        <v>64</v>
      </c>
      <c r="B17" s="28">
        <f>'Fertnat PalmecoMix'!$J$18</f>
        <v>8.8</v>
      </c>
      <c r="C17" s="107">
        <f t="shared" si="0"/>
        <v>2.64</v>
      </c>
      <c r="D17" s="129">
        <f t="shared" si="1"/>
        <v>0.10560000000000001</v>
      </c>
      <c r="E17" s="130"/>
    </row>
    <row r="18" spans="1:5" ht="15.75">
      <c r="A18" s="40" t="s">
        <v>65</v>
      </c>
      <c r="B18" s="28">
        <f>'Fertnat PalmecoMix'!$J$19</f>
        <v>80.03999999999999</v>
      </c>
      <c r="C18" s="107">
        <f t="shared" si="0"/>
        <v>24.011999999999997</v>
      </c>
      <c r="D18" s="129">
        <f t="shared" si="1"/>
        <v>0.9604799999999999</v>
      </c>
      <c r="E18" s="130"/>
    </row>
    <row r="19" spans="1:5" ht="15.75">
      <c r="A19" s="40" t="s">
        <v>120</v>
      </c>
      <c r="B19" s="28">
        <f>'Fertnat PalmecoMix'!$J$20</f>
        <v>0</v>
      </c>
      <c r="C19" s="107">
        <f t="shared" si="0"/>
        <v>0</v>
      </c>
      <c r="D19" s="121">
        <f t="shared" si="1"/>
        <v>0</v>
      </c>
      <c r="E19" s="121"/>
    </row>
    <row r="20" spans="1:5" ht="12.75">
      <c r="A20" s="40"/>
      <c r="B20" s="28"/>
      <c r="C20" s="166"/>
      <c r="D20" s="121"/>
      <c r="E20" s="121"/>
    </row>
    <row r="21" spans="1:5" ht="12.75">
      <c r="A21" s="40" t="s">
        <v>66</v>
      </c>
      <c r="B21" s="93" t="s">
        <v>30</v>
      </c>
      <c r="C21" s="148" t="s">
        <v>30</v>
      </c>
      <c r="D21" s="121" t="s">
        <v>109</v>
      </c>
      <c r="E21" s="121"/>
    </row>
    <row r="22" spans="1:5" ht="12.75">
      <c r="A22" s="40" t="s">
        <v>107</v>
      </c>
      <c r="B22" s="22"/>
      <c r="C22" s="22"/>
      <c r="D22" s="123"/>
      <c r="E22" s="131"/>
    </row>
    <row r="23" spans="1:5" ht="12.75">
      <c r="A23" s="109" t="s">
        <v>10</v>
      </c>
      <c r="B23" s="110">
        <f>'Fertnat PalmecoMix'!$C$33</f>
        <v>0.1</v>
      </c>
      <c r="C23" s="22">
        <f>B23*300</f>
        <v>30</v>
      </c>
      <c r="D23" s="121">
        <f>C23*$D$7/1000</f>
        <v>1.2</v>
      </c>
      <c r="E23" s="130"/>
    </row>
    <row r="24" spans="1:5" ht="12.75">
      <c r="A24" s="109" t="s">
        <v>12</v>
      </c>
      <c r="B24" s="110">
        <f>'Fertnat PalmecoMix'!$D$33</f>
        <v>0.09600000000000002</v>
      </c>
      <c r="C24" s="22">
        <f>B24*300</f>
        <v>28.800000000000004</v>
      </c>
      <c r="D24" s="121">
        <f>C24*$D$7/1000</f>
        <v>1.1520000000000001</v>
      </c>
      <c r="E24" s="130"/>
    </row>
    <row r="25" spans="1:5" ht="12.75">
      <c r="A25" s="109" t="s">
        <v>14</v>
      </c>
      <c r="B25" s="110">
        <f>'Fertnat PalmecoMix'!$E$33</f>
        <v>0.09700000000000002</v>
      </c>
      <c r="C25" s="22">
        <f>B25*300</f>
        <v>29.100000000000005</v>
      </c>
      <c r="D25" s="121">
        <f>C25*$D$7/1000</f>
        <v>1.1640000000000001</v>
      </c>
      <c r="E25" s="130"/>
    </row>
    <row r="26" spans="1:5" ht="12.75">
      <c r="A26" s="109" t="s">
        <v>16</v>
      </c>
      <c r="B26" s="110">
        <f>'Fertnat PalmecoMix'!$F$33</f>
        <v>0.1</v>
      </c>
      <c r="C26" s="22">
        <f>B26*300</f>
        <v>30</v>
      </c>
      <c r="D26" s="121">
        <f>C26*$D$7/1000</f>
        <v>1.2</v>
      </c>
      <c r="E26" s="130"/>
    </row>
    <row r="27" spans="1:5" ht="13.5" thickBot="1">
      <c r="A27" s="111" t="s">
        <v>18</v>
      </c>
      <c r="B27" s="112">
        <f>'Fertnat PalmecoMix'!$G$33</f>
        <v>0.1</v>
      </c>
      <c r="C27" s="22">
        <f>B27*300</f>
        <v>30</v>
      </c>
      <c r="D27" s="122">
        <f>C27*$D$7/1000</f>
        <v>1.2</v>
      </c>
      <c r="E27" s="132"/>
    </row>
    <row r="28" spans="1:5" ht="13.5" thickBot="1">
      <c r="A28" s="70"/>
      <c r="B28" s="149"/>
      <c r="C28" s="149"/>
      <c r="D28" s="115"/>
      <c r="E28" s="70"/>
    </row>
    <row r="29" spans="1:5" ht="12.75">
      <c r="A29" s="113" t="s">
        <v>67</v>
      </c>
      <c r="B29" s="30" t="s">
        <v>3</v>
      </c>
      <c r="C29" s="30" t="s">
        <v>95</v>
      </c>
      <c r="D29" s="124" t="s">
        <v>126</v>
      </c>
      <c r="E29" s="133"/>
    </row>
    <row r="30" spans="1:5" ht="12.75">
      <c r="A30" s="40"/>
      <c r="B30" s="22"/>
      <c r="C30" s="22"/>
      <c r="D30" s="123"/>
      <c r="E30" s="131"/>
    </row>
    <row r="31" spans="1:5" ht="15.75">
      <c r="A31" s="40" t="s">
        <v>68</v>
      </c>
      <c r="B31" s="28">
        <f>'Fertnat PalmecoMix'!$J$17</f>
        <v>80.80000000000001</v>
      </c>
      <c r="C31" s="107">
        <f>B31*0.3</f>
        <v>24.240000000000002</v>
      </c>
      <c r="D31" s="164">
        <f>C31*$D$7/1000</f>
        <v>0.9696000000000001</v>
      </c>
      <c r="E31" s="130"/>
    </row>
    <row r="32" spans="1:5" ht="15.75">
      <c r="A32" s="40" t="s">
        <v>69</v>
      </c>
      <c r="B32" s="28">
        <f>'Fertnat PalmecoMix'!$J$14</f>
        <v>603.72</v>
      </c>
      <c r="C32" s="107">
        <f>B32*0.3</f>
        <v>181.116</v>
      </c>
      <c r="D32" s="125">
        <f>C32*$D$7/1000</f>
        <v>7.24464</v>
      </c>
      <c r="E32" s="130"/>
    </row>
    <row r="33" spans="1:5" ht="12.75">
      <c r="A33" s="40"/>
      <c r="B33" s="28"/>
      <c r="C33" s="107"/>
      <c r="D33" s="125"/>
      <c r="E33" s="130"/>
    </row>
    <row r="34" spans="1:5" ht="12.75">
      <c r="A34" s="40"/>
      <c r="B34" s="93" t="s">
        <v>30</v>
      </c>
      <c r="C34" s="93" t="s">
        <v>30</v>
      </c>
      <c r="D34" s="123" t="s">
        <v>109</v>
      </c>
      <c r="E34" s="130"/>
    </row>
    <row r="35" spans="1:5" ht="13.5" thickBot="1">
      <c r="A35" s="36" t="s">
        <v>108</v>
      </c>
      <c r="B35" s="112">
        <f>'Fertnat PalmecoMix'!$B$33</f>
        <v>0.5</v>
      </c>
      <c r="C35" s="45">
        <f>B35*300</f>
        <v>150</v>
      </c>
      <c r="D35" s="126">
        <f>C35*$D$7/1000</f>
        <v>6</v>
      </c>
      <c r="E35" s="132"/>
    </row>
    <row r="36" spans="2:4" ht="13.5" thickBot="1">
      <c r="B36" s="2"/>
      <c r="C36" s="2"/>
      <c r="D36" s="5"/>
    </row>
    <row r="37" spans="1:4" ht="12.75">
      <c r="A37" s="113" t="s">
        <v>70</v>
      </c>
      <c r="B37" s="30"/>
      <c r="C37" s="30"/>
      <c r="D37" s="39"/>
    </row>
    <row r="38" spans="1:4" ht="12.75">
      <c r="A38" s="40"/>
      <c r="B38" s="22" t="s">
        <v>30</v>
      </c>
      <c r="C38" s="22"/>
      <c r="D38" s="56"/>
    </row>
    <row r="39" spans="1:4" ht="17.25" thickBot="1">
      <c r="A39" s="36" t="s">
        <v>71</v>
      </c>
      <c r="B39" s="99">
        <v>5</v>
      </c>
      <c r="C39" s="45"/>
      <c r="D39" s="187">
        <f>B39*D7/100</f>
        <v>2</v>
      </c>
    </row>
    <row r="40" spans="2:3" ht="12.75">
      <c r="B40" s="2"/>
      <c r="C40" s="2"/>
    </row>
    <row r="41" spans="1:3" ht="12.75">
      <c r="A41" s="8" t="s">
        <v>72</v>
      </c>
      <c r="B41" s="19" t="s">
        <v>1</v>
      </c>
      <c r="C41" s="19" t="s">
        <v>24</v>
      </c>
    </row>
    <row r="42" spans="1:3" ht="12.75">
      <c r="A42" s="9"/>
      <c r="B42" s="13">
        <v>5.5</v>
      </c>
      <c r="C42" s="14">
        <v>2.2</v>
      </c>
    </row>
    <row r="43" spans="1:3" ht="12.75">
      <c r="A43" s="9"/>
      <c r="B43" s="13"/>
      <c r="C43" s="13"/>
    </row>
    <row r="44" spans="1:3" ht="12.75">
      <c r="A44" s="9"/>
      <c r="B44" s="13"/>
      <c r="C44" s="13"/>
    </row>
    <row r="45" spans="1:3" ht="12.75">
      <c r="A45" s="27"/>
      <c r="B45" s="2"/>
      <c r="C45" s="2"/>
    </row>
    <row r="47" ht="12.75">
      <c r="A47" s="27"/>
    </row>
    <row r="48" ht="12.75">
      <c r="A48" s="15"/>
    </row>
    <row r="49" ht="12.75">
      <c r="A49" s="15"/>
    </row>
    <row r="53" ht="12.75">
      <c r="A53" s="1" t="s">
        <v>99</v>
      </c>
    </row>
    <row r="54" ht="12.75">
      <c r="A54"/>
    </row>
  </sheetData>
  <mergeCells count="1">
    <mergeCell ref="B7:C7"/>
  </mergeCells>
  <conditionalFormatting sqref="D10:D35">
    <cfRule type="cellIs" priority="1" dxfId="0" operator="equal" stopIfTrue="1">
      <formula>0</formula>
    </cfRule>
  </conditionalFormatting>
  <conditionalFormatting sqref="D39">
    <cfRule type="cellIs" priority="2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85" r:id="rId3"/>
  <headerFooter alignWithMargins="0">
    <oddFooter>&amp;L&amp;"Arial,Normal"&amp;8VG/&amp;F/&amp;A&amp;RChâteauneuf - &amp;D</oddFooter>
  </headerFooter>
  <legacyDrawing r:id="rId2"/>
  <oleObjects>
    <oleObject progId="Word.Picture.8" shapeId="193952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114" zoomScaleNormal="114" workbookViewId="0" topLeftCell="A1">
      <selection activeCell="G21" sqref="G21"/>
    </sheetView>
  </sheetViews>
  <sheetFormatPr defaultColWidth="11.421875" defaultRowHeight="12.75"/>
  <sheetData>
    <row r="1" spans="1:10" ht="13.5" thickBot="1">
      <c r="A1" s="12" t="s">
        <v>219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04"/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72" t="s">
        <v>0</v>
      </c>
      <c r="H2" s="1"/>
      <c r="I2" s="1"/>
      <c r="J2" s="1"/>
    </row>
    <row r="3" spans="1:10" ht="12.75">
      <c r="A3" s="136" t="s">
        <v>1</v>
      </c>
      <c r="B3" s="22">
        <v>5.5</v>
      </c>
      <c r="C3" s="22"/>
      <c r="D3" s="42"/>
      <c r="E3" s="21"/>
      <c r="F3" s="21"/>
      <c r="G3" s="43"/>
      <c r="H3" s="1"/>
      <c r="I3" s="1"/>
      <c r="J3" s="1"/>
    </row>
    <row r="4" spans="1:10" ht="15" thickBot="1">
      <c r="A4" s="137" t="s">
        <v>115</v>
      </c>
      <c r="B4" s="45">
        <v>1.7</v>
      </c>
      <c r="C4" s="46"/>
      <c r="D4" s="47"/>
      <c r="E4" s="37"/>
      <c r="F4" s="37"/>
      <c r="G4" s="48"/>
      <c r="H4" s="1"/>
      <c r="I4" s="1"/>
      <c r="J4" s="1"/>
    </row>
    <row r="5" spans="1:10" ht="12.75">
      <c r="A5" s="29"/>
      <c r="B5" s="80" t="s">
        <v>3</v>
      </c>
      <c r="C5" s="80" t="s">
        <v>4</v>
      </c>
      <c r="D5" s="138" t="s">
        <v>5</v>
      </c>
      <c r="E5" s="139"/>
      <c r="F5" s="80" t="s">
        <v>3</v>
      </c>
      <c r="G5" s="140" t="s">
        <v>112</v>
      </c>
      <c r="H5" s="19" t="s">
        <v>73</v>
      </c>
      <c r="I5" s="135" t="s">
        <v>113</v>
      </c>
      <c r="J5" s="135" t="s">
        <v>114</v>
      </c>
    </row>
    <row r="6" spans="1:10" ht="14.25">
      <c r="A6" s="136" t="s">
        <v>111</v>
      </c>
      <c r="B6" s="28">
        <f>C6*62.004</f>
        <v>728.547</v>
      </c>
      <c r="C6" s="28">
        <v>11.75</v>
      </c>
      <c r="D6" s="32">
        <f>C6</f>
        <v>11.75</v>
      </c>
      <c r="E6" s="31" t="s">
        <v>8</v>
      </c>
      <c r="F6" s="35">
        <f>G6*0.0558</f>
        <v>0.8370000000000001</v>
      </c>
      <c r="G6" s="32">
        <v>15</v>
      </c>
      <c r="H6" s="3">
        <f>D10/(D11+D12)</f>
        <v>0.5851063829787234</v>
      </c>
      <c r="I6" s="3">
        <f>D6+D7+D8</f>
        <v>16</v>
      </c>
      <c r="J6" s="3">
        <f>D9+D10+D11+D12</f>
        <v>16</v>
      </c>
    </row>
    <row r="7" spans="1:10" ht="14.25">
      <c r="A7" s="136" t="s">
        <v>102</v>
      </c>
      <c r="B7" s="28">
        <f>C7*96.986</f>
        <v>121.2325</v>
      </c>
      <c r="C7" s="28">
        <v>1.25</v>
      </c>
      <c r="D7" s="32">
        <f>C7</f>
        <v>1.25</v>
      </c>
      <c r="E7" s="31" t="s">
        <v>10</v>
      </c>
      <c r="F7" s="35">
        <f>G7*0.0549</f>
        <v>0.5489999999999999</v>
      </c>
      <c r="G7" s="32">
        <v>10</v>
      </c>
      <c r="H7" s="2" t="s">
        <v>78</v>
      </c>
      <c r="I7" s="21"/>
      <c r="J7" s="21"/>
    </row>
    <row r="8" spans="1:10" ht="14.25">
      <c r="A8" s="136" t="s">
        <v>103</v>
      </c>
      <c r="B8" s="28">
        <f>C8*96.056</f>
        <v>144.084</v>
      </c>
      <c r="C8" s="28">
        <v>1.5</v>
      </c>
      <c r="D8" s="32">
        <f>C8*2</f>
        <v>3</v>
      </c>
      <c r="E8" s="31" t="s">
        <v>12</v>
      </c>
      <c r="F8" s="35">
        <f>G8*0.0654</f>
        <v>0.2616</v>
      </c>
      <c r="G8" s="32">
        <v>4</v>
      </c>
      <c r="H8" s="3">
        <f>D10/D11</f>
        <v>0.859375</v>
      </c>
      <c r="I8" s="22"/>
      <c r="J8" s="22"/>
    </row>
    <row r="9" spans="1:10" ht="14.25">
      <c r="A9" s="136" t="s">
        <v>100</v>
      </c>
      <c r="B9" s="28">
        <f>C9*18.039</f>
        <v>19.842900000000004</v>
      </c>
      <c r="C9" s="28">
        <v>1.1</v>
      </c>
      <c r="D9" s="32">
        <f>C9</f>
        <v>1.1</v>
      </c>
      <c r="E9" s="31" t="s">
        <v>14</v>
      </c>
      <c r="F9" s="35">
        <f>G9*0.0108</f>
        <v>0.21600000000000003</v>
      </c>
      <c r="G9" s="32">
        <v>20</v>
      </c>
      <c r="H9" s="1"/>
      <c r="I9" s="3"/>
      <c r="J9" s="23"/>
    </row>
    <row r="10" spans="1:10" ht="12.75">
      <c r="A10" s="136" t="s">
        <v>15</v>
      </c>
      <c r="B10" s="28">
        <f>C10*39.102</f>
        <v>215.06099999999998</v>
      </c>
      <c r="C10" s="28">
        <v>5.5</v>
      </c>
      <c r="D10" s="32">
        <f>C10</f>
        <v>5.5</v>
      </c>
      <c r="E10" s="31" t="s">
        <v>16</v>
      </c>
      <c r="F10" s="35">
        <f>G10*0.0635</f>
        <v>0.047625</v>
      </c>
      <c r="G10" s="32">
        <v>0.75</v>
      </c>
      <c r="H10" s="22" t="s">
        <v>79</v>
      </c>
      <c r="I10" s="1"/>
      <c r="J10" s="1"/>
    </row>
    <row r="11" spans="1:10" ht="12.75">
      <c r="A11" s="136" t="s">
        <v>17</v>
      </c>
      <c r="B11" s="28">
        <f>C11*40.08</f>
        <v>128.256</v>
      </c>
      <c r="C11" s="28">
        <v>3.2</v>
      </c>
      <c r="D11" s="32">
        <f>C11*2</f>
        <v>6.4</v>
      </c>
      <c r="E11" s="31" t="s">
        <v>18</v>
      </c>
      <c r="F11" s="35">
        <f>G11*0.0959</f>
        <v>0.04795</v>
      </c>
      <c r="G11" s="32">
        <v>0.5</v>
      </c>
      <c r="H11" s="3">
        <f>SUM(C6:C12)</f>
        <v>25.8</v>
      </c>
      <c r="I11" s="1"/>
      <c r="J11" s="1"/>
    </row>
    <row r="12" spans="1:10" ht="13.5" thickBot="1">
      <c r="A12" s="137" t="s">
        <v>19</v>
      </c>
      <c r="B12" s="46">
        <f>C12*24.305</f>
        <v>36.457499999999996</v>
      </c>
      <c r="C12" s="46">
        <v>1.5</v>
      </c>
      <c r="D12" s="52">
        <f>C12*2</f>
        <v>3</v>
      </c>
      <c r="E12" s="36"/>
      <c r="F12" s="37"/>
      <c r="G12" s="38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139" t="s">
        <v>20</v>
      </c>
      <c r="B14" s="141" t="str">
        <f>'ER Puit06'!G14</f>
        <v>S19</v>
      </c>
      <c r="C14" s="141" t="str">
        <f>B14</f>
        <v>S19</v>
      </c>
      <c r="D14" s="72"/>
      <c r="E14" s="2"/>
      <c r="F14" s="1"/>
      <c r="G14" s="1"/>
      <c r="H14" s="1"/>
      <c r="I14" s="1"/>
      <c r="J14" s="1"/>
    </row>
    <row r="15" spans="1:10" ht="12.75">
      <c r="A15" s="136" t="s">
        <v>21</v>
      </c>
      <c r="B15" s="142" t="str">
        <f>'ER Puit06'!G15</f>
        <v>Puit</v>
      </c>
      <c r="C15" s="142" t="str">
        <f>B15</f>
        <v>Puit</v>
      </c>
      <c r="D15" s="41"/>
      <c r="E15" s="2"/>
      <c r="F15" s="1"/>
      <c r="G15" s="1"/>
      <c r="H15" s="1"/>
      <c r="I15" s="1"/>
      <c r="J15" s="1"/>
    </row>
    <row r="16" spans="1:10" ht="12.75">
      <c r="A16" s="136" t="s">
        <v>22</v>
      </c>
      <c r="B16" s="143">
        <f>'ER Puit06'!G16</f>
        <v>38806</v>
      </c>
      <c r="C16" s="143">
        <f>B16</f>
        <v>38806</v>
      </c>
      <c r="D16" s="144"/>
      <c r="E16" s="4"/>
      <c r="F16" s="1"/>
      <c r="G16" s="1"/>
      <c r="H16" s="1"/>
      <c r="I16" s="1"/>
      <c r="J16" s="1"/>
    </row>
    <row r="17" spans="1:10" ht="12.75">
      <c r="A17" s="136"/>
      <c r="B17" s="22"/>
      <c r="C17" s="22"/>
      <c r="D17" s="41" t="s">
        <v>23</v>
      </c>
      <c r="E17" s="2"/>
      <c r="F17" s="2"/>
      <c r="H17" s="1"/>
      <c r="I17" s="1"/>
      <c r="J17" s="1"/>
    </row>
    <row r="18" spans="1:10" ht="12.75">
      <c r="A18" s="136" t="s">
        <v>1</v>
      </c>
      <c r="B18" s="142">
        <f>'ER Puit06'!G18</f>
        <v>8.1</v>
      </c>
      <c r="C18" s="22"/>
      <c r="D18" s="56"/>
      <c r="E18" s="2"/>
      <c r="F18" s="3"/>
      <c r="H18" s="1"/>
      <c r="I18" s="1"/>
      <c r="J18" s="1"/>
    </row>
    <row r="19" spans="1:10" ht="12.75">
      <c r="A19" s="136" t="s">
        <v>24</v>
      </c>
      <c r="B19" s="142">
        <f>'ER Puit06'!G19</f>
        <v>0.61</v>
      </c>
      <c r="C19" s="22"/>
      <c r="D19" s="108">
        <f>(B19-$B$4)/$B$4*100</f>
        <v>-64.11764705882352</v>
      </c>
      <c r="E19" s="2"/>
      <c r="F19" s="3"/>
      <c r="H19" s="1"/>
      <c r="I19" s="1"/>
      <c r="J19" s="1"/>
    </row>
    <row r="20" spans="1:10" ht="12.75">
      <c r="A20" s="136"/>
      <c r="B20" s="142" t="str">
        <f>'ER Puit06'!G20</f>
        <v>mg/l</v>
      </c>
      <c r="C20" s="22" t="s">
        <v>5</v>
      </c>
      <c r="D20" s="108"/>
      <c r="E20" s="2"/>
      <c r="F20" s="2"/>
      <c r="H20" s="1"/>
      <c r="I20" s="1"/>
      <c r="J20" s="1"/>
    </row>
    <row r="21" spans="1:10" ht="14.25">
      <c r="A21" s="136" t="s">
        <v>111</v>
      </c>
      <c r="B21" s="142">
        <f>'ER Puit06'!G21</f>
        <v>-20</v>
      </c>
      <c r="C21" s="28">
        <f>B21*1/62.004</f>
        <v>-0.32255983484936457</v>
      </c>
      <c r="D21" s="108">
        <f>(C21-$D$6)/$D$6*100</f>
        <v>-102.74519008382438</v>
      </c>
      <c r="E21" s="3" t="str">
        <f aca="true" t="shared" si="0" ref="E21:E37">IF(D21&gt;25,"Accumulation",IF(D21&lt;-25,"Manque"," "))</f>
        <v>Manque</v>
      </c>
      <c r="F21" s="3"/>
      <c r="H21" s="5"/>
      <c r="I21" s="1"/>
      <c r="J21" s="1"/>
    </row>
    <row r="22" spans="1:10" ht="14.25">
      <c r="A22" s="136" t="s">
        <v>102</v>
      </c>
      <c r="B22" s="142">
        <f>'ER Puit06'!G22</f>
        <v>0.01</v>
      </c>
      <c r="C22" s="110">
        <f>B22*0.01053</f>
        <v>0.0001053</v>
      </c>
      <c r="D22" s="108">
        <f>(C22-$D$7)/$D$7*100</f>
        <v>-99.99157600000001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136" t="s">
        <v>103</v>
      </c>
      <c r="B23" s="142">
        <f>'ER Puit06'!G23</f>
        <v>37.8</v>
      </c>
      <c r="C23" s="28">
        <f>B23/96.056*2</f>
        <v>0.787040892812526</v>
      </c>
      <c r="D23" s="108">
        <f>(C23-$D$8)/$D$8*100</f>
        <v>-73.76530357291581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136" t="s">
        <v>100</v>
      </c>
      <c r="B24" s="142">
        <f>'ER Puit06'!G24</f>
        <v>0.17</v>
      </c>
      <c r="C24" s="28">
        <f>B24/18.039</f>
        <v>0.009424025722046677</v>
      </c>
      <c r="D24" s="108">
        <f>(C24-$D$9)/$D$9*100</f>
        <v>-99.14327038890485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136" t="s">
        <v>15</v>
      </c>
      <c r="B25" s="142">
        <f>'ER Puit06'!G25</f>
        <v>2.98</v>
      </c>
      <c r="C25" s="28">
        <f>B25/39.102</f>
        <v>0.07621093550202036</v>
      </c>
      <c r="D25" s="108">
        <f>(C25-$D$10)/$D$10*100</f>
        <v>-98.61434662723599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136" t="s">
        <v>17</v>
      </c>
      <c r="B26" s="142">
        <f>'ER Puit06'!G26</f>
        <v>40.5</v>
      </c>
      <c r="C26" s="28">
        <f>B26/40.08*2</f>
        <v>2.0209580838323356</v>
      </c>
      <c r="D26" s="108">
        <f>(C26-$D$11)/$D$11*100</f>
        <v>-68.42252994011977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136" t="s">
        <v>19</v>
      </c>
      <c r="B27" s="142">
        <f>'ER Puit06'!G27</f>
        <v>8.4</v>
      </c>
      <c r="C27" s="28">
        <f>B27/24.305*2</f>
        <v>0.6912157992182679</v>
      </c>
      <c r="D27" s="108">
        <f>(C27-$D$12)/$D$12*100</f>
        <v>-76.95947335939107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136" t="s">
        <v>25</v>
      </c>
      <c r="B28" s="142">
        <f>'ER Puit06'!G28</f>
        <v>4.35</v>
      </c>
      <c r="C28" s="28">
        <f>B28/22.99</f>
        <v>0.18921270117442365</v>
      </c>
      <c r="D28" s="108"/>
      <c r="E28" s="3" t="str">
        <f t="shared" si="0"/>
        <v> </v>
      </c>
      <c r="F28" s="3"/>
      <c r="H28" s="1"/>
      <c r="I28" s="1"/>
      <c r="J28" s="1"/>
    </row>
    <row r="29" spans="1:10" ht="12.75">
      <c r="A29" s="136" t="s">
        <v>26</v>
      </c>
      <c r="B29" s="142">
        <f>'ER Puit06'!G29</f>
        <v>-10</v>
      </c>
      <c r="C29" s="28">
        <f>B29/35.453</f>
        <v>-0.2820635771302851</v>
      </c>
      <c r="D29" s="108"/>
      <c r="E29" s="3" t="str">
        <f t="shared" si="0"/>
        <v> </v>
      </c>
      <c r="F29" s="3"/>
      <c r="H29" s="1"/>
      <c r="I29" s="1"/>
      <c r="J29" s="1"/>
    </row>
    <row r="30" spans="1:10" ht="14.25">
      <c r="A30" s="136" t="s">
        <v>104</v>
      </c>
      <c r="B30" s="142">
        <f>'ER Puit06'!G30</f>
        <v>119.88</v>
      </c>
      <c r="C30" s="28">
        <f>B30/61.016</f>
        <v>1.9647305624754163</v>
      </c>
      <c r="D30" s="108"/>
      <c r="E30" s="3" t="str">
        <f t="shared" si="0"/>
        <v> </v>
      </c>
      <c r="F30" s="3"/>
      <c r="H30" s="1"/>
      <c r="I30" s="1"/>
      <c r="J30" s="1"/>
    </row>
    <row r="31" spans="1:10" ht="12.75">
      <c r="A31" s="136"/>
      <c r="B31" s="142" t="str">
        <f>'ER Puit06'!G31</f>
        <v>mg/l</v>
      </c>
      <c r="C31" s="145" t="s">
        <v>27</v>
      </c>
      <c r="D31" s="108"/>
      <c r="E31" s="3" t="str">
        <f t="shared" si="0"/>
        <v> </v>
      </c>
      <c r="F31" s="2"/>
      <c r="H31" s="1"/>
      <c r="I31" s="1"/>
      <c r="J31" s="1"/>
    </row>
    <row r="32" spans="1:10" ht="12.75">
      <c r="A32" s="136" t="s">
        <v>8</v>
      </c>
      <c r="B32" s="142">
        <f>'ER Puit06'!G32</f>
        <v>0.01</v>
      </c>
      <c r="C32" s="28">
        <f>B32/0.0558</f>
        <v>0.17921146953405018</v>
      </c>
      <c r="D32" s="108">
        <f>(C32-$G$6)/$G$6*100</f>
        <v>-98.805256869773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136" t="s">
        <v>10</v>
      </c>
      <c r="B33" s="142">
        <f>'ER Puit06'!G33</f>
        <v>0</v>
      </c>
      <c r="C33" s="28">
        <f>B33/0.0549</f>
        <v>0</v>
      </c>
      <c r="D33" s="108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136" t="s">
        <v>12</v>
      </c>
      <c r="B34" s="142">
        <f>'ER Puit06'!G34</f>
        <v>0.07</v>
      </c>
      <c r="C34" s="28">
        <f>B34/0.0654</f>
        <v>1.070336391437309</v>
      </c>
      <c r="D34" s="108">
        <f>(C34-$G$8)/$G$8*100</f>
        <v>-73.24159021406727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136" t="s">
        <v>14</v>
      </c>
      <c r="B35" s="142">
        <f>'ER Puit06'!G35</f>
        <v>0.1</v>
      </c>
      <c r="C35" s="28">
        <f>B35/0.0108</f>
        <v>9.25925925925926</v>
      </c>
      <c r="D35" s="108">
        <f>(C35-$G$9)/$G$9*100</f>
        <v>-53.703703703703695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136" t="s">
        <v>16</v>
      </c>
      <c r="B36" s="142">
        <f>'ER Puit06'!G36</f>
        <v>0</v>
      </c>
      <c r="C36" s="28">
        <f>B36/0.0635</f>
        <v>0</v>
      </c>
      <c r="D36" s="108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136" t="s">
        <v>18</v>
      </c>
      <c r="B37" s="142">
        <f>'ER Puit06'!G37</f>
        <v>0</v>
      </c>
      <c r="C37" s="28"/>
      <c r="D37" s="108"/>
      <c r="E37" s="3" t="str">
        <f t="shared" si="0"/>
        <v> </v>
      </c>
      <c r="F37" s="3"/>
      <c r="H37" s="1"/>
      <c r="I37" s="1"/>
      <c r="J37" s="1"/>
    </row>
    <row r="38" spans="1:10" ht="13.5" thickBot="1">
      <c r="A38" s="36"/>
      <c r="B38" s="37"/>
      <c r="C38" s="37"/>
      <c r="D38" s="57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46" t="s">
        <v>80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4">
        <f>(C22+C21+C23+C29+C30)-(C27+C26+C25+C24+C28)</f>
        <v>-0.8397682021408017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8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customWidth="1"/>
  </cols>
  <sheetData>
    <row r="1" spans="1:12" ht="12.75">
      <c r="A1" s="18" t="s">
        <v>214</v>
      </c>
      <c r="B1" s="9"/>
      <c r="C1" s="9"/>
      <c r="D1" s="9"/>
      <c r="E1" s="9"/>
      <c r="F1" s="9"/>
      <c r="G1" s="9"/>
      <c r="H1" s="9"/>
      <c r="I1" s="9"/>
      <c r="J1" s="9"/>
      <c r="K1" s="200" t="s">
        <v>195</v>
      </c>
      <c r="L1" s="9"/>
    </row>
    <row r="2" spans="1:12" ht="13.5" thickBot="1">
      <c r="A2" s="18" t="s">
        <v>122</v>
      </c>
      <c r="B2" s="9"/>
      <c r="C2" s="201">
        <f>'Sol nut 2 sem'!B16</f>
        <v>38806</v>
      </c>
      <c r="D2" s="9"/>
      <c r="E2" s="9"/>
      <c r="F2" s="9"/>
      <c r="G2" s="9"/>
      <c r="H2" s="9"/>
      <c r="I2" s="9"/>
      <c r="J2" s="9"/>
      <c r="K2" s="9"/>
      <c r="L2" s="9"/>
    </row>
    <row r="3" spans="1:13" ht="14.25">
      <c r="A3" s="79" t="s">
        <v>28</v>
      </c>
      <c r="B3" s="80" t="s">
        <v>15</v>
      </c>
      <c r="C3" s="80" t="s">
        <v>17</v>
      </c>
      <c r="D3" s="80" t="s">
        <v>19</v>
      </c>
      <c r="E3" s="80" t="s">
        <v>100</v>
      </c>
      <c r="F3" s="80" t="s">
        <v>101</v>
      </c>
      <c r="G3" s="80" t="s">
        <v>102</v>
      </c>
      <c r="H3" s="81" t="s">
        <v>103</v>
      </c>
      <c r="I3" s="202"/>
      <c r="J3" s="202"/>
      <c r="K3" s="203"/>
      <c r="L3" s="202"/>
      <c r="M3" s="202"/>
    </row>
    <row r="4" spans="1:13" ht="12.75">
      <c r="A4" s="73" t="s">
        <v>31</v>
      </c>
      <c r="B4" s="204">
        <v>5.5</v>
      </c>
      <c r="C4" s="204">
        <v>6.4</v>
      </c>
      <c r="D4" s="204">
        <v>3</v>
      </c>
      <c r="E4" s="204">
        <v>1.1</v>
      </c>
      <c r="F4" s="204">
        <v>11.75</v>
      </c>
      <c r="G4" s="204">
        <v>1.25</v>
      </c>
      <c r="H4" s="205">
        <v>3</v>
      </c>
      <c r="I4" s="15" t="s">
        <v>208</v>
      </c>
      <c r="J4" s="15"/>
      <c r="K4" s="14"/>
      <c r="L4" s="202"/>
      <c r="M4" s="202"/>
    </row>
    <row r="5" spans="1:13" ht="12.75">
      <c r="A5" s="74" t="s">
        <v>32</v>
      </c>
      <c r="B5" s="206"/>
      <c r="C5" s="206"/>
      <c r="D5" s="206"/>
      <c r="E5" s="206"/>
      <c r="F5" s="206"/>
      <c r="G5" s="206"/>
      <c r="H5" s="207"/>
      <c r="I5" s="15"/>
      <c r="J5" s="15"/>
      <c r="K5" s="203"/>
      <c r="L5" s="202"/>
      <c r="M5" s="202"/>
    </row>
    <row r="6" spans="1:13" ht="12.75">
      <c r="A6" s="76" t="s">
        <v>33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147">
        <v>100</v>
      </c>
      <c r="I6" s="91" t="s">
        <v>116</v>
      </c>
      <c r="J6" s="15"/>
      <c r="K6" s="14"/>
      <c r="L6" s="202"/>
      <c r="M6" s="202"/>
    </row>
    <row r="7" spans="1:13" ht="12.75">
      <c r="A7" s="73" t="s">
        <v>34</v>
      </c>
      <c r="B7" s="28">
        <f aca="true" t="shared" si="0" ref="B7:H7">(B4*B6)/100</f>
        <v>5.5</v>
      </c>
      <c r="C7" s="28">
        <f t="shared" si="0"/>
        <v>6.4</v>
      </c>
      <c r="D7" s="28">
        <f t="shared" si="0"/>
        <v>3</v>
      </c>
      <c r="E7" s="28">
        <f t="shared" si="0"/>
        <v>1.1</v>
      </c>
      <c r="F7" s="28">
        <f t="shared" si="0"/>
        <v>11.75</v>
      </c>
      <c r="G7" s="28">
        <f t="shared" si="0"/>
        <v>1.25</v>
      </c>
      <c r="H7" s="66">
        <f t="shared" si="0"/>
        <v>3</v>
      </c>
      <c r="I7" s="15"/>
      <c r="J7" s="15"/>
      <c r="K7" s="15"/>
      <c r="L7" s="15"/>
      <c r="M7" s="202"/>
    </row>
    <row r="8" spans="1:13" ht="12.75">
      <c r="A8" s="95" t="s">
        <v>35</v>
      </c>
      <c r="B8" s="88">
        <v>0.08</v>
      </c>
      <c r="C8" s="88">
        <v>2.02</v>
      </c>
      <c r="D8" s="88">
        <v>0.69</v>
      </c>
      <c r="E8" s="88">
        <v>0.01</v>
      </c>
      <c r="F8" s="88">
        <v>0.32</v>
      </c>
      <c r="G8" s="88">
        <v>0</v>
      </c>
      <c r="H8" s="96">
        <v>0.79</v>
      </c>
      <c r="I8" s="15"/>
      <c r="J8" s="15"/>
      <c r="K8" s="15"/>
      <c r="L8" s="15"/>
      <c r="M8" s="202"/>
    </row>
    <row r="9" spans="1:13" ht="13.5" thickBot="1">
      <c r="A9" s="78" t="s">
        <v>36</v>
      </c>
      <c r="B9" s="208">
        <f aca="true" t="shared" si="1" ref="B9:H9">B7-B8</f>
        <v>5.42</v>
      </c>
      <c r="C9" s="208">
        <f t="shared" si="1"/>
        <v>4.380000000000001</v>
      </c>
      <c r="D9" s="208">
        <f t="shared" si="1"/>
        <v>2.31</v>
      </c>
      <c r="E9" s="208">
        <f t="shared" si="1"/>
        <v>1.09</v>
      </c>
      <c r="F9" s="208">
        <f t="shared" si="1"/>
        <v>11.43</v>
      </c>
      <c r="G9" s="208">
        <f t="shared" si="1"/>
        <v>1.25</v>
      </c>
      <c r="H9" s="209">
        <f t="shared" si="1"/>
        <v>2.21</v>
      </c>
      <c r="I9" s="15"/>
      <c r="J9" s="15"/>
      <c r="K9" s="15"/>
      <c r="L9" s="15"/>
      <c r="M9" s="202"/>
    </row>
    <row r="10" spans="1:13" ht="12.75" customHeight="1">
      <c r="A10" s="71"/>
      <c r="B10" s="30"/>
      <c r="C10" s="30"/>
      <c r="D10" s="30"/>
      <c r="E10" s="30"/>
      <c r="F10" s="30"/>
      <c r="G10" s="30"/>
      <c r="H10" s="30"/>
      <c r="I10" s="418" t="s">
        <v>29</v>
      </c>
      <c r="J10" s="420" t="s">
        <v>3</v>
      </c>
      <c r="K10" s="422" t="s">
        <v>30</v>
      </c>
      <c r="L10" s="15"/>
      <c r="M10" s="202"/>
    </row>
    <row r="11" spans="1:13" ht="12.75" customHeight="1">
      <c r="A11" s="73"/>
      <c r="B11" s="22"/>
      <c r="C11" s="22"/>
      <c r="D11" s="22"/>
      <c r="E11" s="22"/>
      <c r="F11" s="22"/>
      <c r="G11" s="22"/>
      <c r="H11" s="22"/>
      <c r="I11" s="419"/>
      <c r="J11" s="421"/>
      <c r="K11" s="423"/>
      <c r="L11" s="15"/>
      <c r="M11" s="202"/>
    </row>
    <row r="12" spans="1:13" ht="15.75">
      <c r="A12" s="98" t="s">
        <v>37</v>
      </c>
      <c r="B12" s="150"/>
      <c r="C12" s="150"/>
      <c r="D12" s="150"/>
      <c r="E12" s="150"/>
      <c r="F12" s="157">
        <f>J30</f>
        <v>1.77</v>
      </c>
      <c r="G12" s="150"/>
      <c r="H12" s="150"/>
      <c r="I12" s="82">
        <v>63</v>
      </c>
      <c r="J12" s="82">
        <f>F12*I12</f>
        <v>111.51</v>
      </c>
      <c r="K12" s="152">
        <f>(J12/0.822)/1000</f>
        <v>0.13565693430656936</v>
      </c>
      <c r="L12" s="15"/>
      <c r="M12" s="202"/>
    </row>
    <row r="13" spans="1:13" ht="15.75">
      <c r="A13" s="73" t="s">
        <v>38</v>
      </c>
      <c r="B13" s="85">
        <f>G13</f>
        <v>1.25</v>
      </c>
      <c r="C13" s="85"/>
      <c r="D13" s="85"/>
      <c r="E13" s="85"/>
      <c r="F13" s="85"/>
      <c r="G13" s="153">
        <v>1.25</v>
      </c>
      <c r="H13" s="85"/>
      <c r="I13" s="28">
        <v>136</v>
      </c>
      <c r="J13" s="28">
        <f>G13*I13</f>
        <v>170</v>
      </c>
      <c r="K13" s="66"/>
      <c r="L13" s="15"/>
      <c r="M13" s="202"/>
    </row>
    <row r="14" spans="1:13" ht="12.75">
      <c r="A14" s="73" t="s">
        <v>39</v>
      </c>
      <c r="B14" s="85"/>
      <c r="C14" s="178">
        <f>C9</f>
        <v>4.380000000000001</v>
      </c>
      <c r="D14" s="85"/>
      <c r="E14" s="85">
        <f>C14*0.1</f>
        <v>0.4380000000000001</v>
      </c>
      <c r="F14" s="85">
        <f>C14+(C14*0.1)</f>
        <v>4.8180000000000005</v>
      </c>
      <c r="G14" s="85"/>
      <c r="H14" s="85"/>
      <c r="I14" s="28">
        <v>108</v>
      </c>
      <c r="J14" s="28">
        <f>C14*I14</f>
        <v>473.0400000000001</v>
      </c>
      <c r="K14" s="66"/>
      <c r="L14" s="15"/>
      <c r="M14" s="202"/>
    </row>
    <row r="15" spans="1:13" ht="15.75">
      <c r="A15" s="73" t="s">
        <v>40</v>
      </c>
      <c r="B15" s="85"/>
      <c r="C15" s="85"/>
      <c r="D15" s="153">
        <v>2.17</v>
      </c>
      <c r="E15" s="85"/>
      <c r="F15" s="85">
        <f>D15</f>
        <v>2.17</v>
      </c>
      <c r="G15" s="85"/>
      <c r="H15" s="85"/>
      <c r="I15" s="28">
        <v>128</v>
      </c>
      <c r="J15" s="28">
        <f>D15*I15</f>
        <v>277.76</v>
      </c>
      <c r="K15" s="66"/>
      <c r="L15" s="15"/>
      <c r="M15" s="202"/>
    </row>
    <row r="16" spans="1:13" ht="15.75">
      <c r="A16" s="73" t="s">
        <v>41</v>
      </c>
      <c r="B16" s="85"/>
      <c r="C16" s="85"/>
      <c r="D16" s="85">
        <f>D9-D15</f>
        <v>0.14000000000000012</v>
      </c>
      <c r="E16" s="85"/>
      <c r="F16" s="85"/>
      <c r="G16" s="85"/>
      <c r="H16" s="85">
        <f>D16</f>
        <v>0.14000000000000012</v>
      </c>
      <c r="I16" s="28">
        <v>123</v>
      </c>
      <c r="J16" s="28">
        <f>D16*I16</f>
        <v>17.220000000000017</v>
      </c>
      <c r="K16" s="66"/>
      <c r="L16" s="15"/>
      <c r="M16" s="202"/>
    </row>
    <row r="17" spans="1:13" ht="15.75">
      <c r="A17" s="73" t="s">
        <v>42</v>
      </c>
      <c r="B17" s="154">
        <v>1.83</v>
      </c>
      <c r="C17" s="85"/>
      <c r="D17" s="85"/>
      <c r="E17" s="85"/>
      <c r="F17" s="85">
        <f>B17</f>
        <v>1.83</v>
      </c>
      <c r="G17" s="85"/>
      <c r="H17" s="85"/>
      <c r="I17" s="28">
        <v>101</v>
      </c>
      <c r="J17" s="28">
        <f>B17*I17</f>
        <v>184.83</v>
      </c>
      <c r="K17" s="66"/>
      <c r="L17" s="15"/>
      <c r="M17" s="202"/>
    </row>
    <row r="18" spans="1:13" ht="15.75">
      <c r="A18" s="73" t="s">
        <v>43</v>
      </c>
      <c r="B18" s="85"/>
      <c r="C18" s="85"/>
      <c r="D18" s="85"/>
      <c r="E18" s="178">
        <f>E9-E14</f>
        <v>0.6519999999999999</v>
      </c>
      <c r="F18" s="85">
        <f>E18</f>
        <v>0.6519999999999999</v>
      </c>
      <c r="G18" s="85"/>
      <c r="H18" s="85"/>
      <c r="I18" s="28">
        <v>80</v>
      </c>
      <c r="J18" s="28">
        <f>E18*I18</f>
        <v>52.16</v>
      </c>
      <c r="K18" s="66"/>
      <c r="L18" s="15"/>
      <c r="M18" s="202"/>
    </row>
    <row r="19" spans="1:13" ht="15.75">
      <c r="A19" s="73" t="s">
        <v>44</v>
      </c>
      <c r="B19" s="85">
        <f>B9-B13-B17</f>
        <v>2.34</v>
      </c>
      <c r="C19" s="85"/>
      <c r="D19" s="85"/>
      <c r="E19" s="85"/>
      <c r="F19" s="85"/>
      <c r="G19" s="85"/>
      <c r="H19" s="85"/>
      <c r="I19" s="28">
        <v>87</v>
      </c>
      <c r="J19" s="28">
        <f>B19*I19</f>
        <v>203.57999999999998</v>
      </c>
      <c r="K19" s="66"/>
      <c r="L19" s="15"/>
      <c r="M19" s="202"/>
    </row>
    <row r="20" spans="1:13" ht="16.5" thickBot="1">
      <c r="A20" s="78" t="s">
        <v>45</v>
      </c>
      <c r="B20" s="151"/>
      <c r="C20" s="151"/>
      <c r="D20" s="151"/>
      <c r="E20" s="155"/>
      <c r="F20" s="151"/>
      <c r="G20" s="151"/>
      <c r="H20" s="151">
        <f>E20</f>
        <v>0</v>
      </c>
      <c r="I20" s="46">
        <v>66</v>
      </c>
      <c r="J20" s="100">
        <f>E20*I20</f>
        <v>0</v>
      </c>
      <c r="K20" s="38"/>
      <c r="L20" s="15"/>
      <c r="M20" s="202"/>
    </row>
    <row r="21" spans="1:13" ht="12.75">
      <c r="A21" s="83"/>
      <c r="B21" s="28"/>
      <c r="C21" s="28"/>
      <c r="D21" s="28"/>
      <c r="E21" s="28"/>
      <c r="F21" s="28" t="s">
        <v>46</v>
      </c>
      <c r="G21" s="28"/>
      <c r="H21" s="28"/>
      <c r="I21" s="28"/>
      <c r="J21" s="28">
        <f>SUM(J12:J20)</f>
        <v>1490.1</v>
      </c>
      <c r="K21" s="97" t="s">
        <v>24</v>
      </c>
      <c r="L21" s="15"/>
      <c r="M21" s="202"/>
    </row>
    <row r="22" spans="1:13" ht="12.75">
      <c r="A22" s="83" t="s">
        <v>47</v>
      </c>
      <c r="B22" s="210">
        <f>B13+B17+B19</f>
        <v>5.42</v>
      </c>
      <c r="C22" s="210">
        <f>C14</f>
        <v>4.380000000000001</v>
      </c>
      <c r="D22" s="210">
        <f>(D15+D16)</f>
        <v>2.31</v>
      </c>
      <c r="E22" s="210">
        <f>(E14+E18+E20)</f>
        <v>1.09</v>
      </c>
      <c r="F22" s="210">
        <f>(F12+F14+F15+F17+F18)</f>
        <v>11.24</v>
      </c>
      <c r="G22" s="210">
        <f>G13</f>
        <v>1.25</v>
      </c>
      <c r="H22" s="210">
        <f>(H16+H19+H20)</f>
        <v>0.14000000000000012</v>
      </c>
      <c r="I22" s="28"/>
      <c r="J22" s="1"/>
      <c r="K22" s="84">
        <f>(J21/0.7)/1000</f>
        <v>2.1287142857142856</v>
      </c>
      <c r="L22" s="211"/>
      <c r="M22" s="202"/>
    </row>
    <row r="23" spans="1:13" ht="12.75">
      <c r="A23" s="89" t="s">
        <v>48</v>
      </c>
      <c r="B23" s="28">
        <f aca="true" t="shared" si="2" ref="B23:H23">(B22-B9)/B9*100</f>
        <v>0</v>
      </c>
      <c r="C23" s="28">
        <f t="shared" si="2"/>
        <v>0</v>
      </c>
      <c r="D23" s="28">
        <f t="shared" si="2"/>
        <v>0</v>
      </c>
      <c r="E23" s="28">
        <f t="shared" si="2"/>
        <v>0</v>
      </c>
      <c r="F23" s="28">
        <f t="shared" si="2"/>
        <v>-1.6622922134733116</v>
      </c>
      <c r="G23" s="28">
        <f t="shared" si="2"/>
        <v>0</v>
      </c>
      <c r="H23" s="28">
        <f t="shared" si="2"/>
        <v>-93.66515837104072</v>
      </c>
      <c r="I23" s="28"/>
      <c r="J23" s="210" t="s">
        <v>78</v>
      </c>
      <c r="K23" s="408" t="s">
        <v>73</v>
      </c>
      <c r="L23" s="1" t="s">
        <v>211</v>
      </c>
      <c r="M23" s="202"/>
    </row>
    <row r="24" spans="1:13" ht="12.75">
      <c r="A24" s="87" t="s">
        <v>49</v>
      </c>
      <c r="B24" s="213">
        <f aca="true" t="shared" si="3" ref="B24:H24">B22+B8</f>
        <v>5.5</v>
      </c>
      <c r="C24" s="213">
        <f t="shared" si="3"/>
        <v>6.4</v>
      </c>
      <c r="D24" s="213">
        <f t="shared" si="3"/>
        <v>3</v>
      </c>
      <c r="E24" s="213">
        <f t="shared" si="3"/>
        <v>1.1</v>
      </c>
      <c r="F24" s="213">
        <f t="shared" si="3"/>
        <v>11.56</v>
      </c>
      <c r="G24" s="213">
        <f t="shared" si="3"/>
        <v>1.25</v>
      </c>
      <c r="H24" s="213">
        <f t="shared" si="3"/>
        <v>0.9300000000000002</v>
      </c>
      <c r="I24" s="90"/>
      <c r="J24" s="409">
        <f>B24/C24</f>
        <v>0.859375</v>
      </c>
      <c r="K24" s="410">
        <f>B24/(C24+D24)</f>
        <v>0.5851063829787234</v>
      </c>
      <c r="L24" s="15"/>
      <c r="M24" s="20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202"/>
    </row>
    <row r="26" spans="1:13" ht="13.5" thickBot="1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"/>
      <c r="L26" s="15"/>
      <c r="M26" s="202"/>
    </row>
    <row r="27" spans="1:12" ht="14.25">
      <c r="A27" s="113" t="s">
        <v>28</v>
      </c>
      <c r="B27" s="80" t="s">
        <v>8</v>
      </c>
      <c r="C27" s="80" t="s">
        <v>10</v>
      </c>
      <c r="D27" s="80" t="s">
        <v>12</v>
      </c>
      <c r="E27" s="80" t="s">
        <v>14</v>
      </c>
      <c r="F27" s="80" t="s">
        <v>16</v>
      </c>
      <c r="G27" s="80" t="s">
        <v>18</v>
      </c>
      <c r="H27" s="80" t="s">
        <v>25</v>
      </c>
      <c r="I27" s="80" t="s">
        <v>26</v>
      </c>
      <c r="J27" s="81" t="s">
        <v>104</v>
      </c>
      <c r="K27" s="1"/>
      <c r="L27" s="1"/>
    </row>
    <row r="28" spans="1:12" ht="12.75">
      <c r="A28" s="40" t="s">
        <v>51</v>
      </c>
      <c r="B28" s="216">
        <v>15</v>
      </c>
      <c r="C28" s="216">
        <v>10</v>
      </c>
      <c r="D28" s="216">
        <v>4</v>
      </c>
      <c r="E28" s="216">
        <v>20</v>
      </c>
      <c r="F28" s="216">
        <v>0.75</v>
      </c>
      <c r="G28" s="216">
        <v>0.5</v>
      </c>
      <c r="H28" s="22"/>
      <c r="I28" s="22"/>
      <c r="J28" s="41"/>
      <c r="K28" s="15" t="s">
        <v>208</v>
      </c>
      <c r="L28" s="1"/>
    </row>
    <row r="29" spans="1:12" ht="12.75">
      <c r="A29" s="40" t="s">
        <v>52</v>
      </c>
      <c r="B29" s="134">
        <v>0.18</v>
      </c>
      <c r="C29" s="91">
        <v>0</v>
      </c>
      <c r="D29" s="91">
        <v>1.07</v>
      </c>
      <c r="E29" s="91">
        <v>0.93</v>
      </c>
      <c r="F29" s="91">
        <v>0</v>
      </c>
      <c r="G29" s="91"/>
      <c r="H29" s="214"/>
      <c r="I29" s="214"/>
      <c r="J29" s="215"/>
      <c r="K29" s="1"/>
      <c r="L29" s="1"/>
    </row>
    <row r="30" spans="1:12" ht="12.75">
      <c r="A30" s="40" t="s">
        <v>53</v>
      </c>
      <c r="B30" s="86"/>
      <c r="C30" s="86"/>
      <c r="D30" s="86"/>
      <c r="E30" s="86"/>
      <c r="F30" s="86"/>
      <c r="G30" s="86"/>
      <c r="H30" s="91">
        <v>0.19</v>
      </c>
      <c r="I30" s="91">
        <v>0.71</v>
      </c>
      <c r="J30" s="101">
        <v>1.77</v>
      </c>
      <c r="K30" s="1"/>
      <c r="L30" s="1"/>
    </row>
    <row r="31" spans="1:12" ht="12.75">
      <c r="A31" s="40" t="s">
        <v>54</v>
      </c>
      <c r="B31" s="22">
        <v>0.5</v>
      </c>
      <c r="C31" s="22">
        <v>0.1</v>
      </c>
      <c r="D31" s="22">
        <v>0.1</v>
      </c>
      <c r="E31" s="22">
        <v>0.1</v>
      </c>
      <c r="F31" s="22">
        <v>0.1</v>
      </c>
      <c r="G31" s="22">
        <v>0.1</v>
      </c>
      <c r="H31" s="21"/>
      <c r="I31" s="21"/>
      <c r="J31" s="56"/>
      <c r="K31" s="1" t="s">
        <v>209</v>
      </c>
      <c r="L31" s="1"/>
    </row>
    <row r="32" spans="1:12" ht="12.75">
      <c r="A32" s="61" t="s">
        <v>33</v>
      </c>
      <c r="B32" s="174">
        <v>99</v>
      </c>
      <c r="C32" s="174">
        <v>100</v>
      </c>
      <c r="D32" s="174">
        <v>73</v>
      </c>
      <c r="E32" s="174">
        <v>95</v>
      </c>
      <c r="F32" s="174">
        <v>100</v>
      </c>
      <c r="G32" s="174">
        <v>100</v>
      </c>
      <c r="H32" s="26"/>
      <c r="I32" s="26"/>
      <c r="J32" s="62"/>
      <c r="K32" s="91" t="s">
        <v>207</v>
      </c>
      <c r="L32" s="11"/>
    </row>
    <row r="33" spans="1:12" ht="12.75">
      <c r="A33" s="40" t="s">
        <v>54</v>
      </c>
      <c r="B33" s="22">
        <f aca="true" t="shared" si="4" ref="B33:G33">(B31*B32)/100</f>
        <v>0.495</v>
      </c>
      <c r="C33" s="22">
        <f t="shared" si="4"/>
        <v>0.1</v>
      </c>
      <c r="D33" s="22">
        <f t="shared" si="4"/>
        <v>0.07300000000000001</v>
      </c>
      <c r="E33" s="22">
        <f t="shared" si="4"/>
        <v>0.095</v>
      </c>
      <c r="F33" s="22">
        <f t="shared" si="4"/>
        <v>0.1</v>
      </c>
      <c r="G33" s="22">
        <f t="shared" si="4"/>
        <v>0.1</v>
      </c>
      <c r="H33" s="21"/>
      <c r="I33" s="21"/>
      <c r="J33" s="56"/>
      <c r="K33" s="1"/>
      <c r="L33" s="1"/>
    </row>
    <row r="34" spans="1:12" ht="12.75">
      <c r="A34" s="158" t="s">
        <v>55</v>
      </c>
      <c r="B34" s="94">
        <f aca="true" t="shared" si="5" ref="B34:G34">(B32*B28)/100</f>
        <v>14.85</v>
      </c>
      <c r="C34" s="94">
        <f t="shared" si="5"/>
        <v>10</v>
      </c>
      <c r="D34" s="94">
        <f t="shared" si="5"/>
        <v>2.92</v>
      </c>
      <c r="E34" s="94">
        <f t="shared" si="5"/>
        <v>19</v>
      </c>
      <c r="F34" s="94">
        <f t="shared" si="5"/>
        <v>0.75</v>
      </c>
      <c r="G34" s="94">
        <f t="shared" si="5"/>
        <v>0.5</v>
      </c>
      <c r="H34" s="92"/>
      <c r="I34" s="92"/>
      <c r="J34" s="159"/>
      <c r="K34" s="10"/>
      <c r="L34" s="10"/>
    </row>
    <row r="35" spans="1:12" ht="12.75">
      <c r="A35" s="40" t="s">
        <v>56</v>
      </c>
      <c r="B35" s="156">
        <f aca="true" t="shared" si="6" ref="B35:G35">B34+B29</f>
        <v>15.03</v>
      </c>
      <c r="C35" s="156">
        <f t="shared" si="6"/>
        <v>10</v>
      </c>
      <c r="D35" s="156">
        <f t="shared" si="6"/>
        <v>3.99</v>
      </c>
      <c r="E35" s="156">
        <f t="shared" si="6"/>
        <v>19.93</v>
      </c>
      <c r="F35" s="156">
        <f t="shared" si="6"/>
        <v>0.75</v>
      </c>
      <c r="G35" s="156">
        <f t="shared" si="6"/>
        <v>0.5</v>
      </c>
      <c r="H35" s="162"/>
      <c r="I35" s="162"/>
      <c r="J35" s="163"/>
      <c r="K35" s="1" t="s">
        <v>210</v>
      </c>
      <c r="L35" s="1"/>
    </row>
    <row r="36" spans="1:12" ht="12.75">
      <c r="A36" s="102" t="s">
        <v>32</v>
      </c>
      <c r="B36" s="75"/>
      <c r="C36" s="75"/>
      <c r="D36" s="75"/>
      <c r="E36" s="75"/>
      <c r="F36" s="75"/>
      <c r="G36" s="75"/>
      <c r="H36" s="92"/>
      <c r="I36" s="92"/>
      <c r="J36" s="159"/>
      <c r="K36" s="10"/>
      <c r="L36" s="10"/>
    </row>
    <row r="37" spans="1:12" ht="12.75">
      <c r="A37" s="160" t="s">
        <v>57</v>
      </c>
      <c r="B37" s="22">
        <v>15</v>
      </c>
      <c r="C37" s="22">
        <v>10</v>
      </c>
      <c r="D37" s="22">
        <v>4</v>
      </c>
      <c r="E37" s="22">
        <v>20</v>
      </c>
      <c r="F37" s="22">
        <v>0.75</v>
      </c>
      <c r="G37" s="22">
        <v>0.5</v>
      </c>
      <c r="H37" s="21"/>
      <c r="I37" s="21"/>
      <c r="J37" s="56"/>
      <c r="K37" s="1"/>
      <c r="L37" s="1"/>
    </row>
    <row r="38" spans="1:12" ht="13.5" thickBot="1">
      <c r="A38" s="161" t="s">
        <v>58</v>
      </c>
      <c r="B38" s="103">
        <f aca="true" t="shared" si="7" ref="B38:G38">B35/B37*100</f>
        <v>100.2</v>
      </c>
      <c r="C38" s="103">
        <f t="shared" si="7"/>
        <v>100</v>
      </c>
      <c r="D38" s="103">
        <f t="shared" si="7"/>
        <v>99.75</v>
      </c>
      <c r="E38" s="103">
        <f t="shared" si="7"/>
        <v>99.64999999999999</v>
      </c>
      <c r="F38" s="103">
        <f t="shared" si="7"/>
        <v>100</v>
      </c>
      <c r="G38" s="103">
        <f t="shared" si="7"/>
        <v>100</v>
      </c>
      <c r="H38" s="37"/>
      <c r="I38" s="37"/>
      <c r="J38" s="57"/>
      <c r="K38" s="1" t="s">
        <v>212</v>
      </c>
      <c r="L38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showGridLines="0" zoomScale="96" zoomScaleNormal="96" workbookViewId="0" topLeftCell="A1">
      <selection activeCell="B32" sqref="B32"/>
    </sheetView>
  </sheetViews>
  <sheetFormatPr defaultColWidth="11.421875" defaultRowHeight="12.75"/>
  <cols>
    <col min="1" max="1" width="46.28125" style="1" bestFit="1" customWidth="1"/>
    <col min="2" max="16384" width="11.421875" style="1" customWidth="1"/>
  </cols>
  <sheetData>
    <row r="1" spans="1:4" ht="13.5">
      <c r="A1" s="7" t="s">
        <v>97</v>
      </c>
      <c r="D1" s="192" t="s">
        <v>178</v>
      </c>
    </row>
    <row r="2" ht="13.5">
      <c r="D2" s="193" t="s">
        <v>179</v>
      </c>
    </row>
    <row r="3" ht="12.75">
      <c r="A3" s="16" t="s">
        <v>94</v>
      </c>
    </row>
    <row r="5" ht="12.75">
      <c r="A5" s="20" t="s">
        <v>118</v>
      </c>
    </row>
    <row r="6" ht="13.5" thickBot="1">
      <c r="A6" s="15" t="s">
        <v>189</v>
      </c>
    </row>
    <row r="7" spans="1:5" ht="26.25" thickBot="1">
      <c r="A7" s="17" t="s">
        <v>166</v>
      </c>
      <c r="B7" s="424" t="s">
        <v>106</v>
      </c>
      <c r="C7" s="425"/>
      <c r="D7" s="118">
        <v>40</v>
      </c>
      <c r="E7" s="127"/>
    </row>
    <row r="8" spans="1:2" ht="13.5" thickBot="1">
      <c r="A8" s="167" t="s">
        <v>165</v>
      </c>
      <c r="B8" s="168">
        <f>'Fert 2sem'!C2</f>
        <v>38806</v>
      </c>
    </row>
    <row r="9" spans="1:5" ht="51.75" thickBot="1">
      <c r="A9" s="114" t="s">
        <v>59</v>
      </c>
      <c r="B9" s="115" t="s">
        <v>3</v>
      </c>
      <c r="C9" s="116" t="s">
        <v>180</v>
      </c>
      <c r="D9" s="119" t="s">
        <v>181</v>
      </c>
      <c r="E9" s="127"/>
    </row>
    <row r="10" spans="1:5" ht="12.75">
      <c r="A10" s="40"/>
      <c r="B10" s="22"/>
      <c r="C10" s="105"/>
      <c r="D10" s="128"/>
      <c r="E10" s="128"/>
    </row>
    <row r="11" spans="1:5" ht="12.75">
      <c r="A11" s="106" t="s">
        <v>61</v>
      </c>
      <c r="B11" s="22"/>
      <c r="C11" s="105"/>
      <c r="D11" s="120"/>
      <c r="E11" s="120"/>
    </row>
    <row r="12" spans="1:5" ht="12.75">
      <c r="A12" s="40"/>
      <c r="B12" s="22"/>
      <c r="C12" s="105"/>
      <c r="D12" s="120"/>
      <c r="E12" s="120"/>
    </row>
    <row r="13" spans="1:7" ht="16.5">
      <c r="A13" s="182" t="s">
        <v>117</v>
      </c>
      <c r="B13" s="183">
        <f>'Fert 2sem'!J13</f>
        <v>170</v>
      </c>
      <c r="C13" s="184">
        <f>B13*0.3</f>
        <v>51</v>
      </c>
      <c r="D13" s="190">
        <f aca="true" t="shared" si="0" ref="D13:D19">C13*$D$7/1000</f>
        <v>2.04</v>
      </c>
      <c r="E13" s="130"/>
      <c r="G13" s="175"/>
    </row>
    <row r="14" spans="1:7" ht="16.5">
      <c r="A14" s="182" t="s">
        <v>119</v>
      </c>
      <c r="B14" s="183">
        <v>0</v>
      </c>
      <c r="C14" s="184">
        <f aca="true" t="shared" si="1" ref="C14:C19">B14*0.3</f>
        <v>0</v>
      </c>
      <c r="D14" s="190">
        <f t="shared" si="0"/>
        <v>0</v>
      </c>
      <c r="E14" s="130"/>
      <c r="G14" s="175"/>
    </row>
    <row r="15" spans="1:7" ht="16.5">
      <c r="A15" s="182" t="s">
        <v>62</v>
      </c>
      <c r="B15" s="183">
        <f>'Fert 2sem'!J15</f>
        <v>277.76</v>
      </c>
      <c r="C15" s="184">
        <f t="shared" si="1"/>
        <v>83.32799999999999</v>
      </c>
      <c r="D15" s="190">
        <f t="shared" si="0"/>
        <v>3.3331199999999996</v>
      </c>
      <c r="E15" s="130"/>
      <c r="G15" s="175"/>
    </row>
    <row r="16" spans="1:7" ht="16.5">
      <c r="A16" s="182" t="s">
        <v>63</v>
      </c>
      <c r="B16" s="183">
        <f>'Fert 2sem'!J16</f>
        <v>17.220000000000017</v>
      </c>
      <c r="C16" s="184">
        <f t="shared" si="1"/>
        <v>5.166000000000005</v>
      </c>
      <c r="D16" s="190">
        <f t="shared" si="0"/>
        <v>0.20664000000000018</v>
      </c>
      <c r="E16" s="130"/>
      <c r="G16" s="175"/>
    </row>
    <row r="17" spans="1:7" ht="16.5">
      <c r="A17" s="182" t="s">
        <v>64</v>
      </c>
      <c r="B17" s="183">
        <f>'Fert 2sem'!J18</f>
        <v>52.16</v>
      </c>
      <c r="C17" s="184">
        <f t="shared" si="1"/>
        <v>15.647999999999998</v>
      </c>
      <c r="D17" s="190">
        <f t="shared" si="0"/>
        <v>0.6259199999999999</v>
      </c>
      <c r="E17" s="130"/>
      <c r="G17" s="175"/>
    </row>
    <row r="18" spans="1:7" ht="16.5">
      <c r="A18" s="182" t="s">
        <v>65</v>
      </c>
      <c r="B18" s="183">
        <f>'Fert 2sem'!J19</f>
        <v>203.57999999999998</v>
      </c>
      <c r="C18" s="184">
        <f t="shared" si="1"/>
        <v>61.07399999999999</v>
      </c>
      <c r="D18" s="190">
        <f t="shared" si="0"/>
        <v>2.44296</v>
      </c>
      <c r="E18" s="130"/>
      <c r="G18" s="175"/>
    </row>
    <row r="19" spans="1:7" ht="16.5">
      <c r="A19" s="182" t="s">
        <v>120</v>
      </c>
      <c r="B19" s="183">
        <f>'Fert 2sem'!J20</f>
        <v>0</v>
      </c>
      <c r="C19" s="184">
        <f t="shared" si="1"/>
        <v>0</v>
      </c>
      <c r="D19" s="190">
        <f t="shared" si="0"/>
        <v>0</v>
      </c>
      <c r="E19" s="191"/>
      <c r="G19" s="175"/>
    </row>
    <row r="20" spans="1:7" ht="15.75">
      <c r="A20" s="185"/>
      <c r="B20" s="28"/>
      <c r="C20" s="166"/>
      <c r="D20" s="186"/>
      <c r="E20" s="121"/>
      <c r="G20" s="175"/>
    </row>
    <row r="21" spans="1:7" ht="15.75">
      <c r="A21" s="185" t="s">
        <v>66</v>
      </c>
      <c r="B21" s="93" t="s">
        <v>30</v>
      </c>
      <c r="C21" s="148" t="s">
        <v>30</v>
      </c>
      <c r="D21" s="186" t="s">
        <v>109</v>
      </c>
      <c r="E21" s="121"/>
      <c r="G21" s="175"/>
    </row>
    <row r="22" spans="1:7" ht="15.75">
      <c r="A22" s="185" t="s">
        <v>107</v>
      </c>
      <c r="B22" s="22"/>
      <c r="C22" s="22"/>
      <c r="D22" s="186"/>
      <c r="E22" s="131"/>
      <c r="G22" s="175"/>
    </row>
    <row r="23" spans="1:7" ht="15.75">
      <c r="A23" s="109" t="s">
        <v>10</v>
      </c>
      <c r="B23" s="110">
        <f>'Fert 2sem'!C33</f>
        <v>0.1</v>
      </c>
      <c r="C23" s="22">
        <f>B23*300</f>
        <v>30</v>
      </c>
      <c r="D23" s="186">
        <f>C23*$D$7/1000</f>
        <v>1.2</v>
      </c>
      <c r="E23" s="130"/>
      <c r="G23" s="175"/>
    </row>
    <row r="24" spans="1:7" ht="15.75">
      <c r="A24" s="109" t="s">
        <v>12</v>
      </c>
      <c r="B24" s="110">
        <f>'Fert 2sem'!D33</f>
        <v>0.07300000000000001</v>
      </c>
      <c r="C24" s="22">
        <f>B24*300</f>
        <v>21.900000000000002</v>
      </c>
      <c r="D24" s="186">
        <f>C24*$D$7/1000</f>
        <v>0.8760000000000001</v>
      </c>
      <c r="E24" s="130"/>
      <c r="G24" s="175"/>
    </row>
    <row r="25" spans="1:7" ht="15.75">
      <c r="A25" s="109" t="s">
        <v>14</v>
      </c>
      <c r="B25" s="110">
        <f>'Fert 2sem'!E33</f>
        <v>0.095</v>
      </c>
      <c r="C25" s="22">
        <f>B25*300</f>
        <v>28.5</v>
      </c>
      <c r="D25" s="186">
        <f>C25*$D$7/1000</f>
        <v>1.14</v>
      </c>
      <c r="E25" s="130"/>
      <c r="G25" s="175"/>
    </row>
    <row r="26" spans="1:7" ht="15.75">
      <c r="A26" s="109" t="s">
        <v>16</v>
      </c>
      <c r="B26" s="110">
        <f>'Fert 2sem'!F33</f>
        <v>0.1</v>
      </c>
      <c r="C26" s="22">
        <f>B26*300</f>
        <v>30</v>
      </c>
      <c r="D26" s="186">
        <f>C26*$D$7/1000</f>
        <v>1.2</v>
      </c>
      <c r="E26" s="130"/>
      <c r="G26" s="175"/>
    </row>
    <row r="27" spans="1:7" ht="16.5" thickBot="1">
      <c r="A27" s="111" t="s">
        <v>18</v>
      </c>
      <c r="B27" s="112">
        <f>'Fert 2sem'!G33</f>
        <v>0.1</v>
      </c>
      <c r="C27" s="22">
        <f>B27*300</f>
        <v>30</v>
      </c>
      <c r="D27" s="187">
        <f>C27*$D$7/1000</f>
        <v>1.2</v>
      </c>
      <c r="E27" s="132"/>
      <c r="G27" s="175"/>
    </row>
    <row r="28" spans="1:7" ht="13.5" thickBot="1">
      <c r="A28" s="70"/>
      <c r="B28" s="149"/>
      <c r="C28" s="149"/>
      <c r="D28" s="181"/>
      <c r="E28" s="70"/>
      <c r="G28" s="175"/>
    </row>
    <row r="29" spans="1:7" ht="15.75">
      <c r="A29" s="113" t="s">
        <v>67</v>
      </c>
      <c r="B29" s="30" t="s">
        <v>3</v>
      </c>
      <c r="C29" s="30" t="s">
        <v>95</v>
      </c>
      <c r="D29" s="189" t="s">
        <v>177</v>
      </c>
      <c r="E29" s="133"/>
      <c r="G29" s="175"/>
    </row>
    <row r="30" spans="1:7" ht="15.75">
      <c r="A30" s="40"/>
      <c r="B30" s="22"/>
      <c r="C30" s="22"/>
      <c r="D30" s="186"/>
      <c r="E30" s="131"/>
      <c r="G30" s="175"/>
    </row>
    <row r="31" spans="1:7" ht="16.5">
      <c r="A31" s="182" t="s">
        <v>68</v>
      </c>
      <c r="B31" s="183">
        <f>'Fert 2sem'!J17</f>
        <v>184.83</v>
      </c>
      <c r="C31" s="184">
        <f>B31*0.3</f>
        <v>55.449000000000005</v>
      </c>
      <c r="D31" s="190">
        <f>C31*$D$7/1000</f>
        <v>2.21796</v>
      </c>
      <c r="E31" s="130"/>
      <c r="G31" s="175"/>
    </row>
    <row r="32" spans="1:7" ht="16.5">
      <c r="A32" s="182" t="s">
        <v>69</v>
      </c>
      <c r="B32" s="183">
        <f>'Fert 2sem'!J14</f>
        <v>473.0400000000001</v>
      </c>
      <c r="C32" s="184">
        <f>B32*0.3</f>
        <v>141.912</v>
      </c>
      <c r="D32" s="190">
        <f>C32*$D$7/1000</f>
        <v>5.676480000000001</v>
      </c>
      <c r="E32" s="130"/>
      <c r="G32" s="175"/>
    </row>
    <row r="33" spans="1:5" ht="15.75">
      <c r="A33" s="185"/>
      <c r="B33" s="28"/>
      <c r="C33" s="107"/>
      <c r="D33" s="186"/>
      <c r="E33" s="130"/>
    </row>
    <row r="34" spans="1:5" ht="15.75">
      <c r="A34" s="185"/>
      <c r="B34" s="93" t="s">
        <v>30</v>
      </c>
      <c r="C34" s="93" t="s">
        <v>30</v>
      </c>
      <c r="D34" s="186" t="s">
        <v>109</v>
      </c>
      <c r="E34" s="130"/>
    </row>
    <row r="35" spans="1:5" ht="16.5" thickBot="1">
      <c r="A35" s="188" t="s">
        <v>141</v>
      </c>
      <c r="B35" s="112">
        <f>'Fert 2sem'!B33</f>
        <v>0.495</v>
      </c>
      <c r="C35" s="45">
        <f>B35*300</f>
        <v>148.5</v>
      </c>
      <c r="D35" s="187">
        <f>C35*$D$7/1000</f>
        <v>5.94</v>
      </c>
      <c r="E35" s="132"/>
    </row>
    <row r="36" spans="2:4" ht="13.5" thickBot="1">
      <c r="B36" s="2"/>
      <c r="C36" s="2"/>
      <c r="D36" s="5"/>
    </row>
    <row r="37" spans="1:4" ht="12.75">
      <c r="A37" s="113" t="s">
        <v>70</v>
      </c>
      <c r="B37" s="30"/>
      <c r="C37" s="30"/>
      <c r="D37" s="128"/>
    </row>
    <row r="38" spans="1:4" ht="12.75">
      <c r="A38" s="40"/>
      <c r="B38" s="22" t="s">
        <v>164</v>
      </c>
      <c r="C38" s="22"/>
      <c r="D38" s="120"/>
    </row>
    <row r="39" spans="1:4" ht="17.25" thickBot="1">
      <c r="A39" s="188" t="s">
        <v>71</v>
      </c>
      <c r="B39" s="165" t="s">
        <v>163</v>
      </c>
      <c r="C39" s="180"/>
      <c r="D39" s="187">
        <f>B39*D7/100</f>
        <v>2</v>
      </c>
    </row>
    <row r="40" spans="2:3" ht="12.75">
      <c r="B40" s="2"/>
      <c r="C40" s="2"/>
    </row>
    <row r="41" spans="1:4" ht="12.75">
      <c r="A41" s="8" t="s">
        <v>72</v>
      </c>
      <c r="B41" s="19" t="s">
        <v>1</v>
      </c>
      <c r="D41" s="19" t="s">
        <v>24</v>
      </c>
    </row>
    <row r="42" spans="1:4" ht="12.75">
      <c r="A42" s="9"/>
      <c r="B42" s="13">
        <v>5.5</v>
      </c>
      <c r="D42" s="14">
        <v>2.5</v>
      </c>
    </row>
    <row r="43" spans="1:3" ht="12.75">
      <c r="A43" s="9"/>
      <c r="B43" s="13"/>
      <c r="C43" s="13"/>
    </row>
    <row r="44" spans="1:3" ht="12.75">
      <c r="A44" s="9"/>
      <c r="B44" s="13"/>
      <c r="C44" s="13"/>
    </row>
    <row r="45" spans="1:3" ht="12.75">
      <c r="A45" s="27"/>
      <c r="B45" s="2"/>
      <c r="C45" s="2"/>
    </row>
    <row r="47" ht="12.75">
      <c r="A47" s="27"/>
    </row>
    <row r="48" ht="12.75">
      <c r="A48" s="15"/>
    </row>
    <row r="49" ht="12.75">
      <c r="A49" s="15"/>
    </row>
    <row r="53" ht="12.75">
      <c r="A53" s="1" t="s">
        <v>99</v>
      </c>
    </row>
    <row r="54" ht="12.75">
      <c r="A54"/>
    </row>
  </sheetData>
  <mergeCells count="1">
    <mergeCell ref="B7:C7"/>
  </mergeCells>
  <conditionalFormatting sqref="D10:D35 D39">
    <cfRule type="cellIs" priority="1" dxfId="0" operator="lessThanOr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5" r:id="rId3"/>
  <headerFooter alignWithMargins="0">
    <oddFooter>&amp;L&amp;"Arial,Normal"&amp;8VG/&amp;F/&amp;A&amp;RChâteauneuf - &amp;D</oddFooter>
  </headerFooter>
  <legacyDrawing r:id="rId2"/>
  <oleObjects>
    <oleObject progId="Word.Picture.8" shapeId="193993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="114" zoomScaleNormal="114" workbookViewId="0" topLeftCell="A1">
      <selection activeCell="E35" sqref="E35"/>
    </sheetView>
  </sheetViews>
  <sheetFormatPr defaultColWidth="11.421875" defaultRowHeight="12.75"/>
  <sheetData>
    <row r="1" spans="1:10" ht="13.5" thickBot="1">
      <c r="A1" s="12" t="s">
        <v>218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04"/>
      <c r="B2" s="30" t="s">
        <v>0</v>
      </c>
      <c r="C2" s="30" t="s">
        <v>0</v>
      </c>
      <c r="D2" s="30" t="s">
        <v>0</v>
      </c>
      <c r="E2" s="30" t="s">
        <v>0</v>
      </c>
      <c r="F2" s="30" t="s">
        <v>0</v>
      </c>
      <c r="G2" s="72" t="s">
        <v>0</v>
      </c>
      <c r="H2" s="1"/>
      <c r="I2" s="1"/>
      <c r="J2" s="1"/>
    </row>
    <row r="3" spans="1:10" ht="12.75">
      <c r="A3" s="136" t="s">
        <v>1</v>
      </c>
      <c r="B3" s="22">
        <v>5.5</v>
      </c>
      <c r="C3" s="22"/>
      <c r="D3" s="42"/>
      <c r="E3" s="21"/>
      <c r="F3" s="21"/>
      <c r="G3" s="43"/>
      <c r="H3" s="1"/>
      <c r="I3" s="1"/>
      <c r="J3" s="1"/>
    </row>
    <row r="4" spans="1:10" ht="15" thickBot="1">
      <c r="A4" s="137" t="s">
        <v>115</v>
      </c>
      <c r="B4" s="45">
        <v>1.7</v>
      </c>
      <c r="C4" s="46"/>
      <c r="D4" s="47"/>
      <c r="E4" s="37"/>
      <c r="F4" s="37"/>
      <c r="G4" s="48"/>
      <c r="H4" s="1"/>
      <c r="I4" s="1"/>
      <c r="J4" s="1"/>
    </row>
    <row r="5" spans="1:10" ht="12.75">
      <c r="A5" s="29"/>
      <c r="B5" s="80" t="s">
        <v>3</v>
      </c>
      <c r="C5" s="80" t="s">
        <v>4</v>
      </c>
      <c r="D5" s="138" t="s">
        <v>5</v>
      </c>
      <c r="E5" s="139"/>
      <c r="F5" s="80" t="s">
        <v>3</v>
      </c>
      <c r="G5" s="140" t="s">
        <v>112</v>
      </c>
      <c r="H5" s="19" t="s">
        <v>73</v>
      </c>
      <c r="I5" s="135" t="s">
        <v>113</v>
      </c>
      <c r="J5" s="135" t="s">
        <v>114</v>
      </c>
    </row>
    <row r="6" spans="1:10" ht="14.25">
      <c r="A6" s="136" t="s">
        <v>111</v>
      </c>
      <c r="B6" s="28">
        <f>C6*62.004</f>
        <v>666.543</v>
      </c>
      <c r="C6" s="28">
        <v>10.75</v>
      </c>
      <c r="D6" s="32">
        <f>C6</f>
        <v>10.75</v>
      </c>
      <c r="E6" s="31" t="s">
        <v>8</v>
      </c>
      <c r="F6" s="35">
        <f>G6*0.0558</f>
        <v>0.8370000000000001</v>
      </c>
      <c r="G6" s="32">
        <v>15</v>
      </c>
      <c r="H6" s="3">
        <f>D10/(D11+D12)</f>
        <v>0.6547619047619048</v>
      </c>
      <c r="I6" s="3">
        <f>D6+D7+D8</f>
        <v>15</v>
      </c>
      <c r="J6" s="3">
        <f>D9+D10+D11+D12</f>
        <v>15</v>
      </c>
    </row>
    <row r="7" spans="1:10" ht="14.25">
      <c r="A7" s="136" t="s">
        <v>102</v>
      </c>
      <c r="B7" s="28">
        <f>C7*96.986</f>
        <v>121.2325</v>
      </c>
      <c r="C7" s="28">
        <v>1.25</v>
      </c>
      <c r="D7" s="32">
        <f>C7</f>
        <v>1.25</v>
      </c>
      <c r="E7" s="31" t="s">
        <v>10</v>
      </c>
      <c r="F7" s="35">
        <f>G7*0.0549</f>
        <v>0.5489999999999999</v>
      </c>
      <c r="G7" s="32">
        <v>10</v>
      </c>
      <c r="H7" s="2" t="s">
        <v>78</v>
      </c>
      <c r="I7" s="21"/>
      <c r="J7" s="21"/>
    </row>
    <row r="8" spans="1:10" ht="14.25">
      <c r="A8" s="136" t="s">
        <v>103</v>
      </c>
      <c r="B8" s="28">
        <f>C8*96.056</f>
        <v>144.084</v>
      </c>
      <c r="C8" s="28">
        <v>1.5</v>
      </c>
      <c r="D8" s="32">
        <f>C8*2</f>
        <v>3</v>
      </c>
      <c r="E8" s="31" t="s">
        <v>12</v>
      </c>
      <c r="F8" s="35">
        <f>G8*0.0654</f>
        <v>0.2616</v>
      </c>
      <c r="G8" s="32">
        <v>4</v>
      </c>
      <c r="H8" s="3">
        <f>D10/D11</f>
        <v>0.859375</v>
      </c>
      <c r="I8" s="22"/>
      <c r="J8" s="22"/>
    </row>
    <row r="9" spans="1:10" ht="14.25">
      <c r="A9" s="136" t="s">
        <v>100</v>
      </c>
      <c r="B9" s="28">
        <f>C9*18.039</f>
        <v>19.842900000000004</v>
      </c>
      <c r="C9" s="28">
        <v>1.1</v>
      </c>
      <c r="D9" s="32">
        <f>C9</f>
        <v>1.1</v>
      </c>
      <c r="E9" s="31" t="s">
        <v>14</v>
      </c>
      <c r="F9" s="35">
        <f>G9*0.0108</f>
        <v>0.21600000000000003</v>
      </c>
      <c r="G9" s="32">
        <v>20</v>
      </c>
      <c r="H9" s="1"/>
      <c r="I9" s="3"/>
      <c r="J9" s="23"/>
    </row>
    <row r="10" spans="1:10" ht="12.75">
      <c r="A10" s="136" t="s">
        <v>15</v>
      </c>
      <c r="B10" s="28">
        <f>C10*39.102</f>
        <v>215.06099999999998</v>
      </c>
      <c r="C10" s="28">
        <v>5.5</v>
      </c>
      <c r="D10" s="32">
        <f>C10</f>
        <v>5.5</v>
      </c>
      <c r="E10" s="31" t="s">
        <v>16</v>
      </c>
      <c r="F10" s="35">
        <f>G10*0.0635</f>
        <v>0.047625</v>
      </c>
      <c r="G10" s="32">
        <v>0.75</v>
      </c>
      <c r="H10" s="22" t="s">
        <v>79</v>
      </c>
      <c r="I10" s="1"/>
      <c r="J10" s="1"/>
    </row>
    <row r="11" spans="1:10" ht="12.75">
      <c r="A11" s="136" t="s">
        <v>17</v>
      </c>
      <c r="B11" s="28">
        <f>C11*40.08</f>
        <v>128.256</v>
      </c>
      <c r="C11" s="28">
        <v>3.2</v>
      </c>
      <c r="D11" s="32">
        <f>C11*2</f>
        <v>6.4</v>
      </c>
      <c r="E11" s="31" t="s">
        <v>18</v>
      </c>
      <c r="F11" s="35">
        <f>G11*0.0959</f>
        <v>0.04795</v>
      </c>
      <c r="G11" s="32">
        <v>0.5</v>
      </c>
      <c r="H11" s="3">
        <f>SUM(C6:C12)</f>
        <v>24.3</v>
      </c>
      <c r="I11" s="1"/>
      <c r="J11" s="1"/>
    </row>
    <row r="12" spans="1:10" ht="13.5" thickBot="1">
      <c r="A12" s="137" t="s">
        <v>19</v>
      </c>
      <c r="B12" s="46">
        <f>C12*24.305</f>
        <v>24.305</v>
      </c>
      <c r="C12" s="46">
        <v>1</v>
      </c>
      <c r="D12" s="52">
        <f>C12*2</f>
        <v>2</v>
      </c>
      <c r="E12" s="36"/>
      <c r="F12" s="37"/>
      <c r="G12" s="38"/>
      <c r="H12" s="1"/>
      <c r="I12" s="1"/>
      <c r="J12" s="1"/>
    </row>
    <row r="13" spans="1:10" ht="13.5" thickBot="1">
      <c r="A13" s="1"/>
      <c r="B13" s="3"/>
      <c r="C13" s="3"/>
      <c r="D13" s="3"/>
      <c r="E13" s="3"/>
      <c r="F13" s="3"/>
      <c r="G13" s="1"/>
      <c r="H13" s="1"/>
      <c r="I13" s="1"/>
      <c r="J13" s="1"/>
    </row>
    <row r="14" spans="1:10" ht="12.75">
      <c r="A14" s="139" t="s">
        <v>20</v>
      </c>
      <c r="B14" s="141" t="s">
        <v>124</v>
      </c>
      <c r="C14" s="141" t="str">
        <f>B14</f>
        <v>S2</v>
      </c>
      <c r="D14" s="72"/>
      <c r="E14" s="2"/>
      <c r="F14" s="1"/>
      <c r="G14" s="1"/>
      <c r="H14" s="1"/>
      <c r="I14" s="1"/>
      <c r="J14" s="1"/>
    </row>
    <row r="15" spans="1:10" ht="12.75">
      <c r="A15" s="136" t="s">
        <v>21</v>
      </c>
      <c r="B15" s="142"/>
      <c r="C15" s="142">
        <f>B15</f>
        <v>0</v>
      </c>
      <c r="D15" s="41"/>
      <c r="E15" s="2"/>
      <c r="F15" s="1"/>
      <c r="G15" s="1"/>
      <c r="H15" s="1"/>
      <c r="I15" s="1"/>
      <c r="J15" s="1"/>
    </row>
    <row r="16" spans="1:10" ht="12.75">
      <c r="A16" s="136" t="s">
        <v>22</v>
      </c>
      <c r="B16" s="143"/>
      <c r="C16" s="143">
        <f>B16</f>
        <v>0</v>
      </c>
      <c r="D16" s="144"/>
      <c r="E16" s="4"/>
      <c r="F16" s="1"/>
      <c r="G16" s="1"/>
      <c r="H16" s="1"/>
      <c r="I16" s="1"/>
      <c r="J16" s="1"/>
    </row>
    <row r="17" spans="1:10" ht="12.75">
      <c r="A17" s="136"/>
      <c r="B17" s="22"/>
      <c r="C17" s="22"/>
      <c r="D17" s="41" t="s">
        <v>23</v>
      </c>
      <c r="E17" s="2"/>
      <c r="F17" s="2"/>
      <c r="H17" s="1"/>
      <c r="I17" s="1"/>
      <c r="J17" s="1"/>
    </row>
    <row r="18" spans="1:10" ht="12.75">
      <c r="A18" s="136" t="s">
        <v>1</v>
      </c>
      <c r="B18" s="142"/>
      <c r="C18" s="22"/>
      <c r="D18" s="56"/>
      <c r="E18" s="2"/>
      <c r="F18" s="3"/>
      <c r="H18" s="1"/>
      <c r="I18" s="1"/>
      <c r="J18" s="1"/>
    </row>
    <row r="19" spans="1:10" ht="12.75">
      <c r="A19" s="136" t="s">
        <v>24</v>
      </c>
      <c r="B19" s="142"/>
      <c r="C19" s="22"/>
      <c r="D19" s="108">
        <f>(B19-$B$4)/$B$4*100</f>
        <v>-100</v>
      </c>
      <c r="E19" s="2"/>
      <c r="F19" s="3"/>
      <c r="H19" s="1"/>
      <c r="I19" s="1"/>
      <c r="J19" s="1"/>
    </row>
    <row r="20" spans="1:10" ht="12.75">
      <c r="A20" s="136"/>
      <c r="B20" s="22" t="s">
        <v>3</v>
      </c>
      <c r="C20" s="22" t="s">
        <v>5</v>
      </c>
      <c r="D20" s="108"/>
      <c r="E20" s="2"/>
      <c r="F20" s="2"/>
      <c r="H20" s="1"/>
      <c r="I20" s="1"/>
      <c r="J20" s="1"/>
    </row>
    <row r="21" spans="1:10" ht="14.25">
      <c r="A21" s="136" t="s">
        <v>111</v>
      </c>
      <c r="B21" s="142"/>
      <c r="C21" s="28">
        <f>B21*1/62.004</f>
        <v>0</v>
      </c>
      <c r="D21" s="108">
        <f>(C21-$D$6)/$D$6*100</f>
        <v>-100</v>
      </c>
      <c r="E21" s="3" t="str">
        <f aca="true" t="shared" si="0" ref="E21:E37">IF(D21&gt;25,"Accumulation",IF(D21&lt;-25,"Manque"," "))</f>
        <v>Manque</v>
      </c>
      <c r="F21" s="3"/>
      <c r="H21" s="5"/>
      <c r="I21" s="1"/>
      <c r="J21" s="1"/>
    </row>
    <row r="22" spans="1:10" ht="14.25">
      <c r="A22" s="136" t="s">
        <v>102</v>
      </c>
      <c r="B22" s="142"/>
      <c r="C22" s="28">
        <f>B22*0.01053</f>
        <v>0</v>
      </c>
      <c r="D22" s="108">
        <f>(C22-$D$7)/$D$7*100</f>
        <v>-100</v>
      </c>
      <c r="E22" s="3" t="str">
        <f t="shared" si="0"/>
        <v>Manque</v>
      </c>
      <c r="F22" s="3"/>
      <c r="H22" s="1"/>
      <c r="I22" s="1"/>
      <c r="J22" s="1"/>
    </row>
    <row r="23" spans="1:10" ht="14.25">
      <c r="A23" s="136" t="s">
        <v>103</v>
      </c>
      <c r="B23" s="142"/>
      <c r="C23" s="28">
        <f>B23/96.056*2</f>
        <v>0</v>
      </c>
      <c r="D23" s="108">
        <f>(C23-$D$8)/$D$8*100</f>
        <v>-100</v>
      </c>
      <c r="E23" s="3" t="str">
        <f t="shared" si="0"/>
        <v>Manque</v>
      </c>
      <c r="F23" s="3"/>
      <c r="H23" s="1"/>
      <c r="I23" s="1"/>
      <c r="J23" s="1"/>
    </row>
    <row r="24" spans="1:10" ht="14.25">
      <c r="A24" s="136" t="s">
        <v>100</v>
      </c>
      <c r="B24" s="142"/>
      <c r="C24" s="28">
        <f>B24/18.039</f>
        <v>0</v>
      </c>
      <c r="D24" s="108">
        <f>(C24-$D$9)/$D$9*100</f>
        <v>-100</v>
      </c>
      <c r="E24" s="3" t="str">
        <f t="shared" si="0"/>
        <v>Manque</v>
      </c>
      <c r="F24" s="3"/>
      <c r="H24" s="1"/>
      <c r="I24" s="1"/>
      <c r="J24" s="1"/>
    </row>
    <row r="25" spans="1:10" ht="12.75">
      <c r="A25" s="136" t="s">
        <v>15</v>
      </c>
      <c r="B25" s="142"/>
      <c r="C25" s="28">
        <f>B25/39.102</f>
        <v>0</v>
      </c>
      <c r="D25" s="108">
        <f>(C25-$D$10)/$D$10*100</f>
        <v>-100</v>
      </c>
      <c r="E25" s="3" t="str">
        <f t="shared" si="0"/>
        <v>Manque</v>
      </c>
      <c r="F25" s="3"/>
      <c r="H25" s="1"/>
      <c r="I25" s="1"/>
      <c r="J25" s="1"/>
    </row>
    <row r="26" spans="1:10" ht="12.75">
      <c r="A26" s="136" t="s">
        <v>17</v>
      </c>
      <c r="B26" s="142"/>
      <c r="C26" s="28">
        <f>B26/40.08*2</f>
        <v>0</v>
      </c>
      <c r="D26" s="108">
        <f>(C26-$D$11)/$D$11*100</f>
        <v>-100</v>
      </c>
      <c r="E26" s="3" t="str">
        <f t="shared" si="0"/>
        <v>Manque</v>
      </c>
      <c r="F26" s="3"/>
      <c r="H26" s="1"/>
      <c r="I26" s="1"/>
      <c r="J26" s="1"/>
    </row>
    <row r="27" spans="1:10" ht="12.75">
      <c r="A27" s="136" t="s">
        <v>19</v>
      </c>
      <c r="B27" s="142"/>
      <c r="C27" s="28">
        <f>B27/24.305*2</f>
        <v>0</v>
      </c>
      <c r="D27" s="108">
        <f>(C27-$D$12)/$D$12*100</f>
        <v>-100</v>
      </c>
      <c r="E27" s="3" t="str">
        <f t="shared" si="0"/>
        <v>Manque</v>
      </c>
      <c r="F27" s="3"/>
      <c r="H27" s="1"/>
      <c r="I27" s="1"/>
      <c r="J27" s="1"/>
    </row>
    <row r="28" spans="1:10" ht="12.75">
      <c r="A28" s="136" t="s">
        <v>25</v>
      </c>
      <c r="B28" s="142"/>
      <c r="C28" s="28">
        <f>B28/22.99</f>
        <v>0</v>
      </c>
      <c r="D28" s="108"/>
      <c r="E28" s="3" t="str">
        <f t="shared" si="0"/>
        <v> </v>
      </c>
      <c r="F28" s="3"/>
      <c r="H28" s="1"/>
      <c r="I28" s="1"/>
      <c r="J28" s="1"/>
    </row>
    <row r="29" spans="1:10" ht="12.75">
      <c r="A29" s="136" t="s">
        <v>26</v>
      </c>
      <c r="B29" s="142"/>
      <c r="C29" s="28">
        <f>B29/35.453</f>
        <v>0</v>
      </c>
      <c r="D29" s="108"/>
      <c r="E29" s="3" t="str">
        <f t="shared" si="0"/>
        <v> </v>
      </c>
      <c r="F29" s="3"/>
      <c r="H29" s="1"/>
      <c r="I29" s="1"/>
      <c r="J29" s="1"/>
    </row>
    <row r="30" spans="1:10" ht="14.25">
      <c r="A30" s="136" t="s">
        <v>104</v>
      </c>
      <c r="B30" s="142"/>
      <c r="C30" s="28">
        <f>B30/61.016</f>
        <v>0</v>
      </c>
      <c r="D30" s="108"/>
      <c r="E30" s="3" t="str">
        <f t="shared" si="0"/>
        <v> </v>
      </c>
      <c r="F30" s="3"/>
      <c r="H30" s="1"/>
      <c r="I30" s="1"/>
      <c r="J30" s="1"/>
    </row>
    <row r="31" spans="1:10" ht="12.75">
      <c r="A31" s="136"/>
      <c r="B31" s="22" t="s">
        <v>3</v>
      </c>
      <c r="C31" s="145" t="s">
        <v>27</v>
      </c>
      <c r="D31" s="108"/>
      <c r="E31" s="3" t="str">
        <f t="shared" si="0"/>
        <v> </v>
      </c>
      <c r="F31" s="2"/>
      <c r="H31" s="1"/>
      <c r="I31" s="1"/>
      <c r="J31" s="1"/>
    </row>
    <row r="32" spans="1:10" ht="12.75">
      <c r="A32" s="136" t="s">
        <v>8</v>
      </c>
      <c r="B32" s="142"/>
      <c r="C32" s="28">
        <f>B32/0.0558</f>
        <v>0</v>
      </c>
      <c r="D32" s="108">
        <f>(C32-$G$6)/$G$6*100</f>
        <v>-100</v>
      </c>
      <c r="E32" s="3" t="str">
        <f t="shared" si="0"/>
        <v>Manque</v>
      </c>
      <c r="F32" s="3"/>
      <c r="H32" s="1"/>
      <c r="I32" s="1"/>
      <c r="J32" s="1"/>
    </row>
    <row r="33" spans="1:10" ht="12.75">
      <c r="A33" s="136" t="s">
        <v>10</v>
      </c>
      <c r="B33" s="142"/>
      <c r="C33" s="28">
        <f>B33/0.0549</f>
        <v>0</v>
      </c>
      <c r="D33" s="108">
        <f>(C33-$G$7)/$G$7*100</f>
        <v>-100</v>
      </c>
      <c r="E33" s="3" t="str">
        <f t="shared" si="0"/>
        <v>Manque</v>
      </c>
      <c r="F33" s="3"/>
      <c r="H33" s="1"/>
      <c r="I33" s="1"/>
      <c r="J33" s="1"/>
    </row>
    <row r="34" spans="1:10" ht="12.75">
      <c r="A34" s="136" t="s">
        <v>12</v>
      </c>
      <c r="B34" s="142"/>
      <c r="C34" s="28">
        <f>B34/0.0654</f>
        <v>0</v>
      </c>
      <c r="D34" s="108">
        <f>(C34-$G$8)/$G$8*100</f>
        <v>-100</v>
      </c>
      <c r="E34" s="3" t="str">
        <f t="shared" si="0"/>
        <v>Manque</v>
      </c>
      <c r="F34" s="3"/>
      <c r="H34" s="1"/>
      <c r="I34" s="1"/>
      <c r="J34" s="1"/>
    </row>
    <row r="35" spans="1:10" ht="12.75">
      <c r="A35" s="136" t="s">
        <v>14</v>
      </c>
      <c r="B35" s="142"/>
      <c r="C35" s="28">
        <f>B35/0.0108</f>
        <v>0</v>
      </c>
      <c r="D35" s="108">
        <f>(C35-$G$9)/$G$9*100</f>
        <v>-100</v>
      </c>
      <c r="E35" s="3" t="str">
        <f t="shared" si="0"/>
        <v>Manque</v>
      </c>
      <c r="F35" s="3"/>
      <c r="H35" s="1"/>
      <c r="I35" s="1"/>
      <c r="J35" s="1"/>
    </row>
    <row r="36" spans="1:10" ht="12.75">
      <c r="A36" s="136" t="s">
        <v>16</v>
      </c>
      <c r="B36" s="142"/>
      <c r="C36" s="28">
        <f>B36/0.0635</f>
        <v>0</v>
      </c>
      <c r="D36" s="108">
        <f>(C36-$G$10)/$G$10*100</f>
        <v>-100</v>
      </c>
      <c r="E36" s="3" t="str">
        <f t="shared" si="0"/>
        <v>Manque</v>
      </c>
      <c r="F36" s="3"/>
      <c r="H36" s="1"/>
      <c r="I36" s="1"/>
      <c r="J36" s="1"/>
    </row>
    <row r="37" spans="1:10" ht="12.75">
      <c r="A37" s="136" t="s">
        <v>18</v>
      </c>
      <c r="B37" s="22"/>
      <c r="C37" s="28"/>
      <c r="D37" s="108"/>
      <c r="E37" s="3" t="str">
        <f t="shared" si="0"/>
        <v> </v>
      </c>
      <c r="F37" s="3"/>
      <c r="H37" s="1"/>
      <c r="I37" s="1"/>
      <c r="J37" s="1"/>
    </row>
    <row r="38" spans="1:10" ht="13.5" thickBot="1">
      <c r="A38" s="36"/>
      <c r="B38" s="37"/>
      <c r="C38" s="37"/>
      <c r="D38" s="57"/>
      <c r="E38" s="1"/>
      <c r="F38" s="1"/>
      <c r="G38" s="1"/>
      <c r="H38" s="1"/>
      <c r="I38" s="1"/>
      <c r="J38" s="1"/>
    </row>
    <row r="39" spans="1:10" ht="13.5" thickBot="1">
      <c r="A39" s="1"/>
      <c r="B39" s="1"/>
      <c r="C39" s="146" t="s">
        <v>80</v>
      </c>
      <c r="D39" s="1"/>
      <c r="E39" s="1"/>
      <c r="F39" s="1"/>
      <c r="G39" s="1"/>
      <c r="H39" s="1"/>
      <c r="I39" s="1"/>
      <c r="J39" s="1"/>
    </row>
    <row r="40" spans="1:10" ht="13.5" thickTop="1">
      <c r="A40" s="1"/>
      <c r="B40" s="1"/>
      <c r="C40" s="24">
        <f>(C22+C21+C23+C29+C30)-(C27+C26+C25+C24+C28)</f>
        <v>0</v>
      </c>
      <c r="D40" s="1"/>
      <c r="E40" s="1"/>
      <c r="F40" s="1"/>
      <c r="G40" s="1"/>
      <c r="H40" s="1"/>
      <c r="I40" s="1"/>
      <c r="J40" s="1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8"/>
  <sheetViews>
    <sheetView workbookViewId="0" topLeftCell="A1">
      <selection activeCell="A2" sqref="A2"/>
    </sheetView>
  </sheetViews>
  <sheetFormatPr defaultColWidth="11.421875" defaultRowHeight="12.75"/>
  <cols>
    <col min="1" max="1" width="16.140625" style="0" customWidth="1"/>
  </cols>
  <sheetData>
    <row r="1" spans="1:12" ht="12.75">
      <c r="A1" s="18" t="s">
        <v>213</v>
      </c>
      <c r="B1" s="9"/>
      <c r="C1" s="9"/>
      <c r="D1" s="9"/>
      <c r="E1" s="9"/>
      <c r="F1" s="9"/>
      <c r="G1" s="9"/>
      <c r="H1" s="9"/>
      <c r="I1" s="9"/>
      <c r="J1" s="9"/>
      <c r="K1" s="200" t="s">
        <v>195</v>
      </c>
      <c r="L1" s="9"/>
    </row>
    <row r="2" spans="1:12" ht="13.5" thickBot="1">
      <c r="A2" s="18" t="s">
        <v>122</v>
      </c>
      <c r="B2" s="9"/>
      <c r="C2" s="201">
        <f>'Sol nut 2 sem'!B16</f>
        <v>38806</v>
      </c>
      <c r="D2" s="9"/>
      <c r="E2" s="9"/>
      <c r="F2" s="9"/>
      <c r="G2" s="9"/>
      <c r="H2" s="9"/>
      <c r="I2" s="9"/>
      <c r="J2" s="9"/>
      <c r="K2" s="9"/>
      <c r="L2" s="9"/>
    </row>
    <row r="3" spans="1:13" ht="14.25">
      <c r="A3" s="79" t="s">
        <v>28</v>
      </c>
      <c r="B3" s="80" t="s">
        <v>15</v>
      </c>
      <c r="C3" s="80" t="s">
        <v>17</v>
      </c>
      <c r="D3" s="80" t="s">
        <v>19</v>
      </c>
      <c r="E3" s="80" t="s">
        <v>100</v>
      </c>
      <c r="F3" s="80" t="s">
        <v>101</v>
      </c>
      <c r="G3" s="80" t="s">
        <v>102</v>
      </c>
      <c r="H3" s="81" t="s">
        <v>103</v>
      </c>
      <c r="I3" s="202"/>
      <c r="J3" s="202"/>
      <c r="K3" s="203"/>
      <c r="L3" s="202"/>
      <c r="M3" s="202"/>
    </row>
    <row r="4" spans="1:13" ht="12.75">
      <c r="A4" s="73" t="s">
        <v>31</v>
      </c>
      <c r="B4" s="204">
        <v>5.5</v>
      </c>
      <c r="C4" s="204">
        <v>6.4</v>
      </c>
      <c r="D4" s="204">
        <v>2</v>
      </c>
      <c r="E4" s="204">
        <v>1.1</v>
      </c>
      <c r="F4" s="204">
        <v>10.75</v>
      </c>
      <c r="G4" s="204">
        <v>1.25</v>
      </c>
      <c r="H4" s="205">
        <v>3</v>
      </c>
      <c r="I4" s="15" t="s">
        <v>208</v>
      </c>
      <c r="J4" s="15"/>
      <c r="K4" s="14"/>
      <c r="L4" s="202"/>
      <c r="M4" s="202"/>
    </row>
    <row r="5" spans="1:13" ht="12.75">
      <c r="A5" s="74" t="s">
        <v>32</v>
      </c>
      <c r="B5" s="206">
        <f>'Sol nut 4-8 sem'!D25</f>
        <v>-100</v>
      </c>
      <c r="C5" s="206">
        <f>'Sol nut 4-8 sem'!D26</f>
        <v>-100</v>
      </c>
      <c r="D5" s="206">
        <f>'Sol nut 4-8 sem'!D27</f>
        <v>-100</v>
      </c>
      <c r="E5" s="206">
        <f>'Sol nut 4-8 sem'!D24</f>
        <v>-100</v>
      </c>
      <c r="F5" s="206">
        <f>'Sol nut 4-8 sem'!D21</f>
        <v>-100</v>
      </c>
      <c r="G5" s="206">
        <f>'Sol nut 4-8 sem'!D22</f>
        <v>-100</v>
      </c>
      <c r="H5" s="207">
        <f>'Sol nut 4-8 sem'!D23</f>
        <v>-100</v>
      </c>
      <c r="I5" s="15"/>
      <c r="J5" s="15"/>
      <c r="K5" s="203"/>
      <c r="L5" s="202"/>
      <c r="M5" s="202"/>
    </row>
    <row r="6" spans="1:13" ht="12.75">
      <c r="A6" s="76" t="s">
        <v>33</v>
      </c>
      <c r="B6" s="77">
        <v>100</v>
      </c>
      <c r="C6" s="77">
        <v>100</v>
      </c>
      <c r="D6" s="77">
        <v>100</v>
      </c>
      <c r="E6" s="77">
        <v>100</v>
      </c>
      <c r="F6" s="77">
        <v>100</v>
      </c>
      <c r="G6" s="77">
        <v>100</v>
      </c>
      <c r="H6" s="147">
        <v>100</v>
      </c>
      <c r="I6" s="91" t="s">
        <v>116</v>
      </c>
      <c r="J6" s="15"/>
      <c r="K6" s="14"/>
      <c r="L6" s="202"/>
      <c r="M6" s="202"/>
    </row>
    <row r="7" spans="1:13" ht="12.75">
      <c r="A7" s="73" t="s">
        <v>34</v>
      </c>
      <c r="B7" s="28">
        <f aca="true" t="shared" si="0" ref="B7:H7">(B4*B6)/100</f>
        <v>5.5</v>
      </c>
      <c r="C7" s="28">
        <f t="shared" si="0"/>
        <v>6.4</v>
      </c>
      <c r="D7" s="28">
        <f t="shared" si="0"/>
        <v>2</v>
      </c>
      <c r="E7" s="28">
        <f t="shared" si="0"/>
        <v>1.1</v>
      </c>
      <c r="F7" s="28">
        <f t="shared" si="0"/>
        <v>10.75</v>
      </c>
      <c r="G7" s="28">
        <f t="shared" si="0"/>
        <v>1.25</v>
      </c>
      <c r="H7" s="66">
        <f t="shared" si="0"/>
        <v>3</v>
      </c>
      <c r="I7" s="15"/>
      <c r="J7" s="15"/>
      <c r="K7" s="15"/>
      <c r="L7" s="15"/>
      <c r="M7" s="202"/>
    </row>
    <row r="8" spans="1:13" ht="12.75">
      <c r="A8" s="95" t="s">
        <v>35</v>
      </c>
      <c r="B8" s="88">
        <v>0.08</v>
      </c>
      <c r="C8" s="88">
        <v>2.02</v>
      </c>
      <c r="D8" s="88">
        <v>0.69</v>
      </c>
      <c r="E8" s="88">
        <v>0.01</v>
      </c>
      <c r="F8" s="88">
        <v>0.32</v>
      </c>
      <c r="G8" s="88">
        <v>0</v>
      </c>
      <c r="H8" s="96">
        <v>0.79</v>
      </c>
      <c r="I8" s="15"/>
      <c r="J8" s="15"/>
      <c r="K8" s="15"/>
      <c r="L8" s="15"/>
      <c r="M8" s="202"/>
    </row>
    <row r="9" spans="1:13" ht="13.5" thickBot="1">
      <c r="A9" s="78" t="s">
        <v>36</v>
      </c>
      <c r="B9" s="208">
        <f aca="true" t="shared" si="1" ref="B9:H9">B7-B8</f>
        <v>5.42</v>
      </c>
      <c r="C9" s="208">
        <f t="shared" si="1"/>
        <v>4.380000000000001</v>
      </c>
      <c r="D9" s="208">
        <f t="shared" si="1"/>
        <v>1.31</v>
      </c>
      <c r="E9" s="208">
        <f t="shared" si="1"/>
        <v>1.09</v>
      </c>
      <c r="F9" s="208">
        <f t="shared" si="1"/>
        <v>10.43</v>
      </c>
      <c r="G9" s="208">
        <f t="shared" si="1"/>
        <v>1.25</v>
      </c>
      <c r="H9" s="209">
        <f t="shared" si="1"/>
        <v>2.21</v>
      </c>
      <c r="I9" s="15"/>
      <c r="J9" s="15"/>
      <c r="K9" s="15"/>
      <c r="L9" s="15"/>
      <c r="M9" s="202"/>
    </row>
    <row r="10" spans="1:13" ht="12.75" customHeight="1">
      <c r="A10" s="71"/>
      <c r="B10" s="30"/>
      <c r="C10" s="30"/>
      <c r="D10" s="30"/>
      <c r="E10" s="30"/>
      <c r="F10" s="30"/>
      <c r="G10" s="30"/>
      <c r="H10" s="30"/>
      <c r="I10" s="418" t="s">
        <v>29</v>
      </c>
      <c r="J10" s="420" t="s">
        <v>3</v>
      </c>
      <c r="K10" s="422" t="s">
        <v>30</v>
      </c>
      <c r="L10" s="15"/>
      <c r="M10" s="202"/>
    </row>
    <row r="11" spans="1:13" ht="12.75" customHeight="1">
      <c r="A11" s="73"/>
      <c r="B11" s="22"/>
      <c r="C11" s="22"/>
      <c r="D11" s="22"/>
      <c r="E11" s="22"/>
      <c r="F11" s="22"/>
      <c r="G11" s="22"/>
      <c r="H11" s="22"/>
      <c r="I11" s="419"/>
      <c r="J11" s="421"/>
      <c r="K11" s="423"/>
      <c r="L11" s="15"/>
      <c r="M11" s="202"/>
    </row>
    <row r="12" spans="1:13" ht="15.75">
      <c r="A12" s="98" t="s">
        <v>37</v>
      </c>
      <c r="B12" s="150"/>
      <c r="C12" s="150"/>
      <c r="D12" s="150"/>
      <c r="E12" s="150"/>
      <c r="F12" s="157">
        <f>J30</f>
        <v>1.77</v>
      </c>
      <c r="G12" s="150"/>
      <c r="H12" s="150"/>
      <c r="I12" s="82">
        <v>63</v>
      </c>
      <c r="J12" s="82">
        <f>F12*I12</f>
        <v>111.51</v>
      </c>
      <c r="K12" s="152">
        <f>(J12/0.822)/1000</f>
        <v>0.13565693430656936</v>
      </c>
      <c r="L12" s="15"/>
      <c r="M12" s="202"/>
    </row>
    <row r="13" spans="1:13" ht="15.75">
      <c r="A13" s="73" t="s">
        <v>38</v>
      </c>
      <c r="B13" s="85">
        <f>G13</f>
        <v>1.25</v>
      </c>
      <c r="C13" s="85"/>
      <c r="D13" s="85"/>
      <c r="E13" s="85"/>
      <c r="F13" s="85"/>
      <c r="G13" s="153">
        <v>1.25</v>
      </c>
      <c r="H13" s="85"/>
      <c r="I13" s="28">
        <v>136</v>
      </c>
      <c r="J13" s="28">
        <f>G13*I13</f>
        <v>170</v>
      </c>
      <c r="K13" s="66"/>
      <c r="L13" s="15"/>
      <c r="M13" s="202"/>
    </row>
    <row r="14" spans="1:13" ht="12.75">
      <c r="A14" s="73" t="s">
        <v>39</v>
      </c>
      <c r="B14" s="85"/>
      <c r="C14" s="178">
        <f>C9</f>
        <v>4.380000000000001</v>
      </c>
      <c r="D14" s="85"/>
      <c r="E14" s="85">
        <f>C14*0.1</f>
        <v>0.4380000000000001</v>
      </c>
      <c r="F14" s="85">
        <f>C14+(C14*0.1)</f>
        <v>4.8180000000000005</v>
      </c>
      <c r="G14" s="85"/>
      <c r="H14" s="85"/>
      <c r="I14" s="28">
        <v>108</v>
      </c>
      <c r="J14" s="28">
        <f>C14*I14</f>
        <v>473.0400000000001</v>
      </c>
      <c r="K14" s="66"/>
      <c r="L14" s="15"/>
      <c r="M14" s="202"/>
    </row>
    <row r="15" spans="1:13" ht="15.75">
      <c r="A15" s="73" t="s">
        <v>40</v>
      </c>
      <c r="B15" s="85"/>
      <c r="C15" s="85"/>
      <c r="D15" s="153">
        <v>0.98</v>
      </c>
      <c r="E15" s="85"/>
      <c r="F15" s="85">
        <f>D15</f>
        <v>0.98</v>
      </c>
      <c r="G15" s="85"/>
      <c r="H15" s="85"/>
      <c r="I15" s="28">
        <v>128</v>
      </c>
      <c r="J15" s="28">
        <f>D15*I15</f>
        <v>125.44</v>
      </c>
      <c r="K15" s="66"/>
      <c r="L15" s="15"/>
      <c r="M15" s="202"/>
    </row>
    <row r="16" spans="1:13" ht="15.75">
      <c r="A16" s="73" t="s">
        <v>41</v>
      </c>
      <c r="B16" s="85"/>
      <c r="C16" s="85"/>
      <c r="D16" s="85">
        <f>D9-D15</f>
        <v>0.33000000000000007</v>
      </c>
      <c r="E16" s="85"/>
      <c r="F16" s="85"/>
      <c r="G16" s="85"/>
      <c r="H16" s="85">
        <f>D16</f>
        <v>0.33000000000000007</v>
      </c>
      <c r="I16" s="28">
        <v>123</v>
      </c>
      <c r="J16" s="28">
        <f>D16*I16</f>
        <v>40.59000000000001</v>
      </c>
      <c r="K16" s="66"/>
      <c r="L16" s="15"/>
      <c r="M16" s="202"/>
    </row>
    <row r="17" spans="1:13" ht="15.75">
      <c r="A17" s="73" t="s">
        <v>42</v>
      </c>
      <c r="B17" s="154">
        <v>2.67</v>
      </c>
      <c r="C17" s="85"/>
      <c r="D17" s="85"/>
      <c r="E17" s="85"/>
      <c r="F17" s="85">
        <f>B17</f>
        <v>2.67</v>
      </c>
      <c r="G17" s="85"/>
      <c r="H17" s="85"/>
      <c r="I17" s="28">
        <v>101</v>
      </c>
      <c r="J17" s="28">
        <f>B17*I17</f>
        <v>269.67</v>
      </c>
      <c r="K17" s="66"/>
      <c r="L17" s="15"/>
      <c r="M17" s="202"/>
    </row>
    <row r="18" spans="1:13" ht="15.75">
      <c r="A18" s="73" t="s">
        <v>43</v>
      </c>
      <c r="B18" s="85"/>
      <c r="C18" s="85"/>
      <c r="D18" s="85"/>
      <c r="E18" s="178">
        <v>0</v>
      </c>
      <c r="F18" s="85">
        <f>E18</f>
        <v>0</v>
      </c>
      <c r="G18" s="85"/>
      <c r="H18" s="85"/>
      <c r="I18" s="28">
        <v>80</v>
      </c>
      <c r="J18" s="28">
        <f>E18*I18</f>
        <v>0</v>
      </c>
      <c r="K18" s="66"/>
      <c r="L18" s="15"/>
      <c r="M18" s="202"/>
    </row>
    <row r="19" spans="1:13" ht="15.75">
      <c r="A19" s="73" t="s">
        <v>44</v>
      </c>
      <c r="B19" s="85">
        <f>B9-B13-B17</f>
        <v>1.5</v>
      </c>
      <c r="C19" s="85"/>
      <c r="D19" s="85"/>
      <c r="E19" s="85"/>
      <c r="F19" s="85"/>
      <c r="G19" s="85"/>
      <c r="H19" s="85"/>
      <c r="I19" s="28">
        <v>87</v>
      </c>
      <c r="J19" s="28">
        <f>B19*I19</f>
        <v>130.5</v>
      </c>
      <c r="K19" s="66"/>
      <c r="L19" s="15"/>
      <c r="M19" s="202"/>
    </row>
    <row r="20" spans="1:13" ht="16.5" thickBot="1">
      <c r="A20" s="78" t="s">
        <v>45</v>
      </c>
      <c r="B20" s="151"/>
      <c r="C20" s="151"/>
      <c r="D20" s="151"/>
      <c r="E20" s="155">
        <v>0.65</v>
      </c>
      <c r="F20" s="151"/>
      <c r="G20" s="151"/>
      <c r="H20" s="151">
        <f>E20</f>
        <v>0.65</v>
      </c>
      <c r="I20" s="46">
        <v>66</v>
      </c>
      <c r="J20" s="100">
        <f>E20*I20</f>
        <v>42.9</v>
      </c>
      <c r="K20" s="38"/>
      <c r="L20" s="15"/>
      <c r="M20" s="202"/>
    </row>
    <row r="21" spans="1:13" ht="12.75">
      <c r="A21" s="83"/>
      <c r="B21" s="28"/>
      <c r="C21" s="28"/>
      <c r="D21" s="28"/>
      <c r="E21" s="28"/>
      <c r="F21" s="28" t="s">
        <v>46</v>
      </c>
      <c r="G21" s="28"/>
      <c r="H21" s="28"/>
      <c r="I21" s="28"/>
      <c r="J21" s="28">
        <f>SUM(J12:J20)</f>
        <v>1363.65</v>
      </c>
      <c r="K21" s="97" t="s">
        <v>24</v>
      </c>
      <c r="L21" s="15"/>
      <c r="M21" s="202"/>
    </row>
    <row r="22" spans="1:13" ht="12.75">
      <c r="A22" s="83" t="s">
        <v>47</v>
      </c>
      <c r="B22" s="210">
        <f>B13+B17+B19</f>
        <v>5.42</v>
      </c>
      <c r="C22" s="210">
        <f>C14</f>
        <v>4.380000000000001</v>
      </c>
      <c r="D22" s="210">
        <f>(D15+D16)</f>
        <v>1.31</v>
      </c>
      <c r="E22" s="210">
        <f>(E14+E18+E20)</f>
        <v>1.088</v>
      </c>
      <c r="F22" s="210">
        <f>(F12+F14+F15+F17+F18)</f>
        <v>10.238000000000001</v>
      </c>
      <c r="G22" s="210">
        <f>G13</f>
        <v>1.25</v>
      </c>
      <c r="H22" s="210">
        <f>(H16+H19+H20)</f>
        <v>0.9800000000000001</v>
      </c>
      <c r="I22" s="28"/>
      <c r="J22" s="1"/>
      <c r="K22" s="84">
        <f>(J21/0.7)/1000</f>
        <v>1.948071428571429</v>
      </c>
      <c r="L22" s="211"/>
      <c r="M22" s="202"/>
    </row>
    <row r="23" spans="1:13" ht="12.75">
      <c r="A23" s="89" t="s">
        <v>48</v>
      </c>
      <c r="B23" s="28">
        <f aca="true" t="shared" si="2" ref="B23:H23">(B22-B9)/B9*100</f>
        <v>0</v>
      </c>
      <c r="C23" s="28">
        <f t="shared" si="2"/>
        <v>0</v>
      </c>
      <c r="D23" s="28">
        <f t="shared" si="2"/>
        <v>0</v>
      </c>
      <c r="E23" s="28">
        <f t="shared" si="2"/>
        <v>-0.18348623853211024</v>
      </c>
      <c r="F23" s="28">
        <f t="shared" si="2"/>
        <v>-1.8408437200383356</v>
      </c>
      <c r="G23" s="28">
        <f t="shared" si="2"/>
        <v>0</v>
      </c>
      <c r="H23" s="28">
        <f t="shared" si="2"/>
        <v>-55.65610859728507</v>
      </c>
      <c r="I23" s="28"/>
      <c r="J23" s="210" t="s">
        <v>78</v>
      </c>
      <c r="K23" s="408" t="s">
        <v>73</v>
      </c>
      <c r="L23" s="1" t="s">
        <v>211</v>
      </c>
      <c r="M23" s="202"/>
    </row>
    <row r="24" spans="1:13" ht="12.75">
      <c r="A24" s="87" t="s">
        <v>49</v>
      </c>
      <c r="B24" s="213">
        <f aca="true" t="shared" si="3" ref="B24:H24">B22+B8</f>
        <v>5.5</v>
      </c>
      <c r="C24" s="213">
        <f t="shared" si="3"/>
        <v>6.4</v>
      </c>
      <c r="D24" s="213">
        <f t="shared" si="3"/>
        <v>2</v>
      </c>
      <c r="E24" s="213">
        <f t="shared" si="3"/>
        <v>1.098</v>
      </c>
      <c r="F24" s="213">
        <f t="shared" si="3"/>
        <v>10.558000000000002</v>
      </c>
      <c r="G24" s="213">
        <f t="shared" si="3"/>
        <v>1.25</v>
      </c>
      <c r="H24" s="213">
        <f t="shared" si="3"/>
        <v>1.77</v>
      </c>
      <c r="I24" s="90"/>
      <c r="J24" s="409">
        <f>B24/C24</f>
        <v>0.859375</v>
      </c>
      <c r="K24" s="410">
        <f>B24/(C24+D24)</f>
        <v>0.6547619047619048</v>
      </c>
      <c r="L24" s="15"/>
      <c r="M24" s="202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202"/>
    </row>
    <row r="26" spans="1:13" ht="13.5" thickBot="1">
      <c r="A26" s="117" t="s">
        <v>50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"/>
      <c r="L26" s="15"/>
      <c r="M26" s="202"/>
    </row>
    <row r="27" spans="1:12" ht="14.25">
      <c r="A27" s="113" t="s">
        <v>28</v>
      </c>
      <c r="B27" s="80" t="s">
        <v>8</v>
      </c>
      <c r="C27" s="80" t="s">
        <v>10</v>
      </c>
      <c r="D27" s="80" t="s">
        <v>12</v>
      </c>
      <c r="E27" s="80" t="s">
        <v>14</v>
      </c>
      <c r="F27" s="80" t="s">
        <v>16</v>
      </c>
      <c r="G27" s="80" t="s">
        <v>18</v>
      </c>
      <c r="H27" s="80" t="s">
        <v>25</v>
      </c>
      <c r="I27" s="80" t="s">
        <v>26</v>
      </c>
      <c r="J27" s="81" t="s">
        <v>104</v>
      </c>
      <c r="K27" s="1"/>
      <c r="L27" s="1"/>
    </row>
    <row r="28" spans="1:12" ht="12.75">
      <c r="A28" s="40" t="s">
        <v>51</v>
      </c>
      <c r="B28" s="216">
        <v>15</v>
      </c>
      <c r="C28" s="216">
        <v>10</v>
      </c>
      <c r="D28" s="216">
        <v>4</v>
      </c>
      <c r="E28" s="216">
        <v>20</v>
      </c>
      <c r="F28" s="216">
        <v>0.75</v>
      </c>
      <c r="G28" s="216">
        <v>0.5</v>
      </c>
      <c r="H28" s="22"/>
      <c r="I28" s="22"/>
      <c r="J28" s="41"/>
      <c r="K28" s="15" t="s">
        <v>208</v>
      </c>
      <c r="L28" s="1"/>
    </row>
    <row r="29" spans="1:12" ht="12.75">
      <c r="A29" s="40" t="s">
        <v>52</v>
      </c>
      <c r="B29" s="134">
        <v>0.18</v>
      </c>
      <c r="C29" s="91">
        <v>0</v>
      </c>
      <c r="D29" s="91">
        <v>1.07</v>
      </c>
      <c r="E29" s="91">
        <v>0.93</v>
      </c>
      <c r="F29" s="91">
        <v>0</v>
      </c>
      <c r="G29" s="91"/>
      <c r="H29" s="214"/>
      <c r="I29" s="214"/>
      <c r="J29" s="215"/>
      <c r="K29" s="1"/>
      <c r="L29" s="1"/>
    </row>
    <row r="30" spans="1:12" ht="12.75">
      <c r="A30" s="40" t="s">
        <v>53</v>
      </c>
      <c r="B30" s="86"/>
      <c r="C30" s="86"/>
      <c r="D30" s="86"/>
      <c r="E30" s="86"/>
      <c r="F30" s="86"/>
      <c r="G30" s="86"/>
      <c r="H30" s="91">
        <v>0.19</v>
      </c>
      <c r="I30" s="91">
        <v>0.71</v>
      </c>
      <c r="J30" s="101">
        <v>1.77</v>
      </c>
      <c r="K30" s="1"/>
      <c r="L30" s="1"/>
    </row>
    <row r="31" spans="1:12" ht="12.75">
      <c r="A31" s="40" t="s">
        <v>54</v>
      </c>
      <c r="B31" s="22">
        <v>0.5</v>
      </c>
      <c r="C31" s="22">
        <v>0.1</v>
      </c>
      <c r="D31" s="22">
        <v>0.1</v>
      </c>
      <c r="E31" s="22">
        <v>0.1</v>
      </c>
      <c r="F31" s="22">
        <v>0.1</v>
      </c>
      <c r="G31" s="22">
        <v>0.1</v>
      </c>
      <c r="H31" s="21"/>
      <c r="I31" s="21"/>
      <c r="J31" s="56"/>
      <c r="K31" s="1" t="s">
        <v>209</v>
      </c>
      <c r="L31" s="1"/>
    </row>
    <row r="32" spans="1:12" ht="12.75">
      <c r="A32" s="61" t="s">
        <v>33</v>
      </c>
      <c r="B32" s="174">
        <v>99</v>
      </c>
      <c r="C32" s="174">
        <v>100</v>
      </c>
      <c r="D32" s="174">
        <v>73</v>
      </c>
      <c r="E32" s="174">
        <v>95</v>
      </c>
      <c r="F32" s="174">
        <v>100</v>
      </c>
      <c r="G32" s="174">
        <v>100</v>
      </c>
      <c r="H32" s="26"/>
      <c r="I32" s="26"/>
      <c r="J32" s="62"/>
      <c r="K32" s="91" t="s">
        <v>207</v>
      </c>
      <c r="L32" s="11"/>
    </row>
    <row r="33" spans="1:12" ht="12.75">
      <c r="A33" s="40" t="s">
        <v>54</v>
      </c>
      <c r="B33" s="22">
        <f aca="true" t="shared" si="4" ref="B33:G33">(B31*B32)/100</f>
        <v>0.495</v>
      </c>
      <c r="C33" s="22">
        <f t="shared" si="4"/>
        <v>0.1</v>
      </c>
      <c r="D33" s="22">
        <f t="shared" si="4"/>
        <v>0.07300000000000001</v>
      </c>
      <c r="E33" s="22">
        <f t="shared" si="4"/>
        <v>0.095</v>
      </c>
      <c r="F33" s="22">
        <f t="shared" si="4"/>
        <v>0.1</v>
      </c>
      <c r="G33" s="22">
        <f t="shared" si="4"/>
        <v>0.1</v>
      </c>
      <c r="H33" s="21"/>
      <c r="I33" s="21"/>
      <c r="J33" s="56"/>
      <c r="K33" s="1"/>
      <c r="L33" s="1"/>
    </row>
    <row r="34" spans="1:12" ht="12.75">
      <c r="A34" s="158" t="s">
        <v>55</v>
      </c>
      <c r="B34" s="94">
        <f aca="true" t="shared" si="5" ref="B34:G34">(B32*B28)/100</f>
        <v>14.85</v>
      </c>
      <c r="C34" s="94">
        <f t="shared" si="5"/>
        <v>10</v>
      </c>
      <c r="D34" s="94">
        <f t="shared" si="5"/>
        <v>2.92</v>
      </c>
      <c r="E34" s="94">
        <f t="shared" si="5"/>
        <v>19</v>
      </c>
      <c r="F34" s="94">
        <f t="shared" si="5"/>
        <v>0.75</v>
      </c>
      <c r="G34" s="94">
        <f t="shared" si="5"/>
        <v>0.5</v>
      </c>
      <c r="H34" s="92"/>
      <c r="I34" s="92"/>
      <c r="J34" s="159"/>
      <c r="K34" s="10"/>
      <c r="L34" s="10"/>
    </row>
    <row r="35" spans="1:12" ht="12.75">
      <c r="A35" s="40" t="s">
        <v>56</v>
      </c>
      <c r="B35" s="156">
        <f aca="true" t="shared" si="6" ref="B35:G35">B34+B29</f>
        <v>15.03</v>
      </c>
      <c r="C35" s="156">
        <f t="shared" si="6"/>
        <v>10</v>
      </c>
      <c r="D35" s="156">
        <f t="shared" si="6"/>
        <v>3.99</v>
      </c>
      <c r="E35" s="156">
        <f t="shared" si="6"/>
        <v>19.93</v>
      </c>
      <c r="F35" s="156">
        <f t="shared" si="6"/>
        <v>0.75</v>
      </c>
      <c r="G35" s="156">
        <f t="shared" si="6"/>
        <v>0.5</v>
      </c>
      <c r="H35" s="162"/>
      <c r="I35" s="162"/>
      <c r="J35" s="163"/>
      <c r="K35" s="1" t="s">
        <v>210</v>
      </c>
      <c r="L35" s="1"/>
    </row>
    <row r="36" spans="1:12" ht="12.75">
      <c r="A36" s="102" t="s">
        <v>32</v>
      </c>
      <c r="B36" s="75">
        <f>'Sol nut 4-8 sem'!D32</f>
        <v>-100</v>
      </c>
      <c r="C36" s="75">
        <f>'Sol nut 4-8 sem'!D33</f>
        <v>-100</v>
      </c>
      <c r="D36" s="75">
        <f>'Sol nut 4-8 sem'!D34</f>
        <v>-100</v>
      </c>
      <c r="E36" s="75">
        <f>'Sol nut 4-8 sem'!D35</f>
        <v>-100</v>
      </c>
      <c r="F36" s="75">
        <f>'Sol nut 4-8 sem'!D36</f>
        <v>-100</v>
      </c>
      <c r="G36" s="75">
        <f>'Sol nut 4-8 sem'!D37</f>
        <v>0</v>
      </c>
      <c r="H36" s="92"/>
      <c r="I36" s="92"/>
      <c r="J36" s="159"/>
      <c r="K36" s="10"/>
      <c r="L36" s="10"/>
    </row>
    <row r="37" spans="1:12" ht="12.75">
      <c r="A37" s="160" t="s">
        <v>57</v>
      </c>
      <c r="B37" s="22">
        <v>15</v>
      </c>
      <c r="C37" s="22">
        <v>10</v>
      </c>
      <c r="D37" s="22">
        <v>4</v>
      </c>
      <c r="E37" s="22">
        <v>20</v>
      </c>
      <c r="F37" s="22">
        <v>0.75</v>
      </c>
      <c r="G37" s="22">
        <v>0.5</v>
      </c>
      <c r="H37" s="21"/>
      <c r="I37" s="21"/>
      <c r="J37" s="56"/>
      <c r="K37" s="1"/>
      <c r="L37" s="1"/>
    </row>
    <row r="38" spans="1:12" ht="13.5" thickBot="1">
      <c r="A38" s="161" t="s">
        <v>58</v>
      </c>
      <c r="B38" s="103">
        <f aca="true" t="shared" si="7" ref="B38:G38">B35/B37*100</f>
        <v>100.2</v>
      </c>
      <c r="C38" s="103">
        <f t="shared" si="7"/>
        <v>100</v>
      </c>
      <c r="D38" s="103">
        <f t="shared" si="7"/>
        <v>99.75</v>
      </c>
      <c r="E38" s="103">
        <f t="shared" si="7"/>
        <v>99.64999999999999</v>
      </c>
      <c r="F38" s="103">
        <f t="shared" si="7"/>
        <v>100</v>
      </c>
      <c r="G38" s="103">
        <f t="shared" si="7"/>
        <v>100</v>
      </c>
      <c r="H38" s="37"/>
      <c r="I38" s="37"/>
      <c r="J38" s="57"/>
      <c r="K38" s="1" t="s">
        <v>212</v>
      </c>
      <c r="L38" s="1"/>
    </row>
  </sheetData>
  <sheetProtection password="8669" sheet="1" objects="1" scenarios="1"/>
  <mergeCells count="3">
    <mergeCell ref="I10:I11"/>
    <mergeCell ref="J10:J11"/>
    <mergeCell ref="K10:K11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SRROSIER</dc:title>
  <dc:subject/>
  <dc:creator>RAC - Changins</dc:creator>
  <cp:keywords/>
  <dc:description/>
  <cp:lastModifiedBy>AC_VS</cp:lastModifiedBy>
  <cp:lastPrinted>2007-02-06T11:03:17Z</cp:lastPrinted>
  <dcterms:created xsi:type="dcterms:W3CDTF">2000-03-16T13:46:54Z</dcterms:created>
  <dcterms:modified xsi:type="dcterms:W3CDTF">2009-03-26T14:49:20Z</dcterms:modified>
  <cp:category/>
  <cp:version/>
  <cp:contentType/>
  <cp:contentStatus/>
</cp:coreProperties>
</file>